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NUEVO PROCESO CUADRILLA ADECUACION\Cuadrilla Lineas\"/>
    </mc:Choice>
  </mc:AlternateContent>
  <bookViews>
    <workbookView xWindow="9980" yWindow="290" windowWidth="5070" windowHeight="7890" tabRatio="501" firstSheet="1" activeTab="1"/>
  </bookViews>
  <sheets>
    <sheet name="Hoja2" sheetId="2" state="hidden" r:id="rId1"/>
    <sheet name=" Cinta de polietileno" sheetId="4" r:id="rId2"/>
    <sheet name="Hoja3" sheetId="6" state="hidden" r:id="rId3"/>
    <sheet name="Pintura epóxica" sheetId="8" r:id="rId4"/>
    <sheet name="Ceras " sheetId="7" r:id="rId5"/>
  </sheets>
  <definedNames>
    <definedName name="_xlnm.Print_Area" localSheetId="4">'Ceras '!$A$1:$H$46</definedName>
    <definedName name="_xlnm.Print_Area" localSheetId="3">'Pintura epóxica'!$A$1:$F$33</definedName>
  </definedNames>
  <calcPr calcId="162913"/>
</workbook>
</file>

<file path=xl/calcChain.xml><?xml version="1.0" encoding="utf-8"?>
<calcChain xmlns="http://schemas.openxmlformats.org/spreadsheetml/2006/main">
  <c r="B24" i="8" l="1"/>
  <c r="B27" i="8" s="1"/>
  <c r="D26" i="7" l="1"/>
  <c r="E20" i="7"/>
  <c r="D19" i="7"/>
  <c r="D12" i="7"/>
  <c r="D10" i="7"/>
  <c r="B20" i="7"/>
  <c r="D20" i="7" s="1"/>
  <c r="B21" i="7"/>
  <c r="E21" i="7" s="1"/>
  <c r="B22" i="7"/>
  <c r="D22" i="7" s="1"/>
  <c r="B23" i="7"/>
  <c r="D23" i="7" s="1"/>
  <c r="B24" i="7"/>
  <c r="D24" i="7" s="1"/>
  <c r="B25" i="7"/>
  <c r="D25" i="7" s="1"/>
  <c r="B26" i="7"/>
  <c r="B27" i="7"/>
  <c r="D27" i="7" s="1"/>
  <c r="B28" i="7"/>
  <c r="D28" i="7" s="1"/>
  <c r="B29" i="7"/>
  <c r="D29" i="7" s="1"/>
  <c r="B30" i="7"/>
  <c r="D30" i="7" s="1"/>
  <c r="B31" i="7"/>
  <c r="D31" i="7" s="1"/>
  <c r="B32" i="7"/>
  <c r="D32" i="7" s="1"/>
  <c r="B33" i="7"/>
  <c r="D33" i="7" s="1"/>
  <c r="B19" i="7"/>
  <c r="E19" i="7" s="1"/>
  <c r="B11" i="7"/>
  <c r="E11" i="7" s="1"/>
  <c r="B12" i="7"/>
  <c r="B13" i="7"/>
  <c r="D13" i="7" s="1"/>
  <c r="B10" i="7"/>
  <c r="E10" i="7" s="1"/>
  <c r="D21" i="7" l="1"/>
  <c r="E13" i="7"/>
  <c r="D11" i="7"/>
  <c r="B33" i="8"/>
  <c r="B25" i="8" l="1"/>
  <c r="G33" i="7" l="1"/>
  <c r="E33" i="7"/>
  <c r="G32" i="7"/>
  <c r="E32" i="7"/>
  <c r="G31" i="7"/>
  <c r="E31" i="7"/>
  <c r="G30" i="7"/>
  <c r="E30" i="7"/>
  <c r="G29" i="7"/>
  <c r="E29" i="7"/>
  <c r="G28" i="7"/>
  <c r="G27" i="7"/>
  <c r="E27" i="7"/>
  <c r="G26" i="7"/>
  <c r="E26" i="7"/>
  <c r="G25" i="7"/>
  <c r="E25" i="7"/>
  <c r="G24" i="7"/>
  <c r="E24" i="7"/>
  <c r="G23" i="7"/>
  <c r="E23" i="7"/>
  <c r="G22" i="7"/>
  <c r="E22" i="7"/>
  <c r="G21" i="7"/>
  <c r="G20" i="7"/>
  <c r="G19" i="7"/>
  <c r="G13" i="7"/>
  <c r="G12" i="7"/>
  <c r="E12" i="7"/>
  <c r="G11" i="7"/>
  <c r="G10" i="7"/>
  <c r="D36" i="7" l="1"/>
  <c r="F37" i="7"/>
  <c r="D37" i="7"/>
  <c r="H42" i="7" s="1"/>
  <c r="F36" i="7"/>
  <c r="D38" i="7"/>
  <c r="T5" i="2"/>
  <c r="T4" i="2"/>
  <c r="T3" i="2"/>
  <c r="B24" i="4"/>
  <c r="B28" i="4" s="1"/>
  <c r="B39" i="4" l="1"/>
  <c r="B25" i="4"/>
  <c r="B26" i="4" s="1"/>
  <c r="B37" i="4" l="1"/>
  <c r="B38" i="4"/>
  <c r="H2" i="2"/>
</calcChain>
</file>

<file path=xl/sharedStrings.xml><?xml version="1.0" encoding="utf-8"?>
<sst xmlns="http://schemas.openxmlformats.org/spreadsheetml/2006/main" count="231" uniqueCount="185">
  <si>
    <t>Clasificación 1</t>
  </si>
  <si>
    <t>Clasificación 2</t>
  </si>
  <si>
    <t>Tipo de adhesión</t>
  </si>
  <si>
    <t>&gt; 3.5 julios</t>
  </si>
  <si>
    <t>Desprendimiento catódico</t>
  </si>
  <si>
    <t>Resistencia al impacto</t>
  </si>
  <si>
    <t>&lt; 6 mm de radio</t>
  </si>
  <si>
    <t>&lt; 7 mm de radio</t>
  </si>
  <si>
    <t>&lt; 8 mm de radio</t>
  </si>
  <si>
    <t xml:space="preserve">Diámetro tubo </t>
  </si>
  <si>
    <t xml:space="preserve">Longitud </t>
  </si>
  <si>
    <t>Diámetro Tubería</t>
  </si>
  <si>
    <t>pulgadas</t>
  </si>
  <si>
    <t>metros</t>
  </si>
  <si>
    <t xml:space="preserve">Rendimiento teórico </t>
  </si>
  <si>
    <t>142 ft2/(lb/mil)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</si>
  <si>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@ 25 mils por galon (8.70 lbs)</t>
    </r>
  </si>
  <si>
    <t>3m</t>
  </si>
  <si>
    <t>Aéreo (4 mils)</t>
  </si>
  <si>
    <t>Cruce de rio (40 mils)</t>
  </si>
  <si>
    <t>Área total para revestir</t>
  </si>
  <si>
    <t>Espesor de revestimiento</t>
  </si>
  <si>
    <t>Porcentaje Residuos esperado</t>
  </si>
  <si>
    <r>
      <t>1605 mil-ft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/Galon (HBE 95 CANUSA)</t>
    </r>
  </si>
  <si>
    <r>
      <t>142.3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/lb/mil (Scotchkote 323 - 3m)</t>
    </r>
  </si>
  <si>
    <r>
      <t>1604 mil-ft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/Galon (SPC)</t>
    </r>
  </si>
  <si>
    <t xml:space="preserve">Solapamiento </t>
  </si>
  <si>
    <t>Solapamiento</t>
  </si>
  <si>
    <t>1"</t>
  </si>
  <si>
    <t>2"</t>
  </si>
  <si>
    <t>1mil</t>
  </si>
  <si>
    <t>3/4"</t>
  </si>
  <si>
    <t>1   3/4"</t>
  </si>
  <si>
    <t>1   1/4"</t>
  </si>
  <si>
    <t>1   1/2"</t>
  </si>
  <si>
    <t xml:space="preserve">Ancho de cinta </t>
  </si>
  <si>
    <t>Ancho de cinta</t>
  </si>
  <si>
    <t>4"</t>
  </si>
  <si>
    <t>6"</t>
  </si>
  <si>
    <t>9"</t>
  </si>
  <si>
    <t>12"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</si>
  <si>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</si>
  <si>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t>Square</t>
  </si>
  <si>
    <t>Rollos*</t>
  </si>
  <si>
    <t xml:space="preserve">* 2 squares= 1 Rollo </t>
  </si>
  <si>
    <t>Cantidad Total de cinta</t>
  </si>
  <si>
    <t xml:space="preserve">**A 5mils de espesor </t>
  </si>
  <si>
    <t>&gt;= 3.0 Julios</t>
  </si>
  <si>
    <t>&gt;= 1.5 Julios</t>
  </si>
  <si>
    <t xml:space="preserve">Flexibilidad </t>
  </si>
  <si>
    <t>Litros</t>
  </si>
  <si>
    <t>8"</t>
  </si>
  <si>
    <t>10"</t>
  </si>
  <si>
    <t>14'</t>
  </si>
  <si>
    <t>16"</t>
  </si>
  <si>
    <t>18"</t>
  </si>
  <si>
    <t>20"</t>
  </si>
  <si>
    <t>22"</t>
  </si>
  <si>
    <t>24"</t>
  </si>
  <si>
    <t>poliguard</t>
  </si>
  <si>
    <t xml:space="preserve">canusa </t>
  </si>
  <si>
    <t>poliken</t>
  </si>
  <si>
    <t>tapecoat</t>
  </si>
  <si>
    <t>Sin Holidays</t>
  </si>
  <si>
    <t>Pipe Size</t>
  </si>
  <si>
    <t>Tape Width</t>
  </si>
  <si>
    <t>Sq. Yards/100 ft.</t>
  </si>
  <si>
    <t>1"overlap                       55%overlap</t>
  </si>
  <si>
    <t>Gallons of Wax-Tape® Primer/100ft</t>
  </si>
  <si>
    <t>Ancho Trenton</t>
  </si>
  <si>
    <t>Solapamiento trenton</t>
  </si>
  <si>
    <t>55%</t>
  </si>
  <si>
    <t xml:space="preserve">Galones primer /100ft </t>
  </si>
  <si>
    <t xml:space="preserve">Solap trenton 1" yd2/100ft </t>
  </si>
  <si>
    <t>Solap yd2/100ft trenton 55%"</t>
  </si>
  <si>
    <t xml:space="preserve">Solap. 2 </t>
  </si>
  <si>
    <t>Resumen Pedido</t>
  </si>
  <si>
    <t xml:space="preserve">Primer </t>
  </si>
  <si>
    <t>30 mils</t>
  </si>
  <si>
    <t>Cinta de revestimiento de polietileno de protección mecánica de 6 pulgadas de ancho</t>
  </si>
  <si>
    <t>Cinta de revestimiento de polietileno de protección anticorrosiva de 6 pulgadas de ancho</t>
  </si>
  <si>
    <t xml:space="preserve">Especificaciones Técnicas </t>
  </si>
  <si>
    <t>Solicitud de Cinta de Revestimiento</t>
  </si>
  <si>
    <t>CANTIDAD</t>
  </si>
  <si>
    <t xml:space="preserve">Descripción característica </t>
  </si>
  <si>
    <t>Norma</t>
  </si>
  <si>
    <t xml:space="preserve">Cinta interna </t>
  </si>
  <si>
    <t>Cinta externa protección mecánica</t>
  </si>
  <si>
    <t xml:space="preserve">Resistencia a la tracción:  </t>
  </si>
  <si>
    <t>ASTM D1000</t>
  </si>
  <si>
    <t>Min 30 lb/in.</t>
  </si>
  <si>
    <t>Min 35 lb/in</t>
  </si>
  <si>
    <t xml:space="preserve">Elongación:  </t>
  </si>
  <si>
    <t>100-400%</t>
  </si>
  <si>
    <t>100-500%</t>
  </si>
  <si>
    <t>Adhesión a acero con líquido adhesivo:</t>
  </si>
  <si>
    <t>Min 200 oz/in</t>
  </si>
  <si>
    <t>ASTM G8</t>
  </si>
  <si>
    <t>0.25 in radio</t>
  </si>
  <si>
    <t>Resistividad por volumen</t>
  </si>
  <si>
    <t>ASTM E257</t>
  </si>
  <si>
    <t>2.5 xE15 ohm.cm</t>
  </si>
  <si>
    <t xml:space="preserve">Velocidad de transmisión vapor de agua:                          </t>
  </si>
  <si>
    <t>(ASTM F1249) (100°F, 100%        HR)</t>
  </si>
  <si>
    <t>0.03g/100in2 /24 hr.</t>
  </si>
  <si>
    <t>Resistencia aislante:</t>
  </si>
  <si>
    <t>650 volts/mil</t>
  </si>
  <si>
    <t>Resistencia eléctrica:</t>
  </si>
  <si>
    <t>ASTM D 149</t>
  </si>
  <si>
    <t>18-22 KV/mm</t>
  </si>
  <si>
    <t xml:space="preserve">*Resistencia a la tracción:   ASTM D1000 Min 30 lb/in. 
Elongación:   ASTM D1000   100-400%
Adhesión a acero con líquido adhesivo: ASTM D1000 Min 200 oz/in 
Desprendimiento catódico ASTM G8 0.25 in radio 
Resistividad por volumen ASTM E257 2.5 xE15 ohm.cm 
Velocidad de transmisión vapor de agua(ASTM F1249) (100°F, 100%        HR) 0.03g/100in2 /24 hr. 
Resistencia aislante: ASTM D1000 650 volts/mil 
Resistencia eléctrica: ASTM D 149 18-22 KV/mm 
</t>
  </si>
  <si>
    <t xml:space="preserve">*Resistencia a la tracción:   ASTM D1000 Min 35 lb/in. 
Elongación:   ASTM D1000   100-500%
Adhesión a acero con líquido adhesivo: ASTM D1000 Min 200 oz/in 
Desprendimiento catódico ASTM G8 0.25 in radio 
Resistividad por volumen ASTM E257 2.5 xE15 ohm.cm 
Velocidad de transmisión vapor de agua(ASTM F1249) (100°F, 100%        HR) 0.03g/100in2 /24 hr. 
Resistencia aislante: ASTM D1000 650 volts/mil 
Resistencia eléctrica: ASTM D 149 18-22 KV/mm 
</t>
  </si>
  <si>
    <t>Cantidad de primer**</t>
  </si>
  <si>
    <t xml:space="preserve">ANEXO 3:
“CÁLCULO DE CANTIDAD DE REVESTIMIENTOS (CINTA)"
</t>
  </si>
  <si>
    <t xml:space="preserve">55% Overlap </t>
  </si>
  <si>
    <t xml:space="preserve">   2"</t>
  </si>
  <si>
    <t xml:space="preserve">               </t>
  </si>
  <si>
    <t xml:space="preserve">   4"</t>
  </si>
  <si>
    <t xml:space="preserve">             </t>
  </si>
  <si>
    <t xml:space="preserve">   6"</t>
  </si>
  <si>
    <t xml:space="preserve">   8"</t>
  </si>
  <si>
    <t xml:space="preserve"> </t>
  </si>
  <si>
    <t>1" Overlap</t>
  </si>
  <si>
    <t xml:space="preserve">  10"</t>
  </si>
  <si>
    <t xml:space="preserve"> 12"</t>
  </si>
  <si>
    <t xml:space="preserve"> 14"</t>
  </si>
  <si>
    <t xml:space="preserve"> 16"</t>
  </si>
  <si>
    <t xml:space="preserve"> 18"</t>
  </si>
  <si>
    <t xml:space="preserve"> 20"</t>
  </si>
  <si>
    <t xml:space="preserve"> 22"</t>
  </si>
  <si>
    <t xml:space="preserve"> 24"</t>
  </si>
  <si>
    <t xml:space="preserve"> 26"</t>
  </si>
  <si>
    <t xml:space="preserve"> 28"</t>
  </si>
  <si>
    <t xml:space="preserve"> 30"</t>
  </si>
  <si>
    <t xml:space="preserve"> 32"</t>
  </si>
  <si>
    <t xml:space="preserve"> 34"</t>
  </si>
  <si>
    <t xml:space="preserve"> 36"</t>
  </si>
  <si>
    <t>48"</t>
  </si>
  <si>
    <t xml:space="preserve">Especificaciones técnicas </t>
  </si>
  <si>
    <t>Propiedad</t>
  </si>
  <si>
    <t>Método de prueba</t>
  </si>
  <si>
    <t>Condiciones</t>
  </si>
  <si>
    <t>Criterio de aceptación</t>
  </si>
  <si>
    <t xml:space="preserve">Adhesión del revestimiento </t>
  </si>
  <si>
    <t>24 hr / 75 °C</t>
  </si>
  <si>
    <t xml:space="preserve">Rating 1 - 3 </t>
  </si>
  <si>
    <t xml:space="preserve">Resistencia al impacto </t>
  </si>
  <si>
    <t>-30° C /1.5 julios</t>
  </si>
  <si>
    <t>28 días, 1.5v, 65°C</t>
  </si>
  <si>
    <t>20 mm máx. radio</t>
  </si>
  <si>
    <t>Doblado de 3°</t>
  </si>
  <si>
    <t>Sin quebrarse</t>
  </si>
  <si>
    <t xml:space="preserve">Cantidad </t>
  </si>
  <si>
    <t>Espesor revestimiento según tipo de aplicación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</si>
  <si>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</si>
  <si>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30% recomendado</t>
  </si>
  <si>
    <t xml:space="preserve">Cantidad  de pintura epóxica </t>
  </si>
  <si>
    <t>Cantidad</t>
  </si>
  <si>
    <t>Especificaciones técnicas</t>
  </si>
  <si>
    <t xml:space="preserve">Pintura epóxica 100% sólidos </t>
  </si>
  <si>
    <t>Enterramiento  (25 mils)</t>
  </si>
  <si>
    <t>Distancia Lineal en metros</t>
  </si>
  <si>
    <t xml:space="preserve"> Número de rollos de 4" Requeridos</t>
  </si>
  <si>
    <t xml:space="preserve"> 1" Traslape</t>
  </si>
  <si>
    <t>55% Traslape</t>
  </si>
  <si>
    <t xml:space="preserve"> Número de rollos de 6" Requeridos</t>
  </si>
  <si>
    <t>o</t>
  </si>
  <si>
    <t xml:space="preserve">
Opcional: # de cajas de 9" de ancho por 18 pies de largo de cinta de cera a ser usada en lugar de 6" de ancho </t>
  </si>
  <si>
    <t>1" Traslape</t>
  </si>
  <si>
    <t>Número total de cajas de primer</t>
  </si>
  <si>
    <t>Galones Primer</t>
  </si>
  <si>
    <t xml:space="preserve">ANEXO 3:
“CÁLCULO DE CANTIDAD DE REVESTIMIENTOS (CERAS)"
</t>
  </si>
  <si>
    <t xml:space="preserve">ANEXO 3:
“CÁLCULO DE CANTIDAD DE REVESTIMIENTOS (PINTURA EPÓXICA)"
</t>
  </si>
  <si>
    <t>Solicitud de pintura de revestimiento 100% sólidos</t>
  </si>
  <si>
    <t>Descripción</t>
  </si>
  <si>
    <t>*Adhesión del revestimiento(CSA Z245.20-06 Cláusula 12.14) a 24 hr / 75 °C, dentro Clasificación  de 1 a 3
*Resistencia al impacto (CSA-Z245.20-06 Cláusula 12.12)         -30°C/1.5 Julios,  Sin presentar Holidays
*Desprendimiento catódico(CSA-Z245.20-06 Cláusula 12.8) en 28 días, 1.5v, 65°C, 20mm de radio máximo
*Flexibilidad (CSA-Z245.20-06 Claúsula 12.11)  Doblado de 3°, sin quebrarse
*Temperatura de operación mayor a 60 °C</t>
  </si>
  <si>
    <t>CSA Z245.20-06 Cláusula 12.14</t>
  </si>
  <si>
    <t xml:space="preserve">CSA-Z245.20-06 Cláusula 12.12 </t>
  </si>
  <si>
    <t>CSA-Z245.20-06 Cláusula 12.11</t>
  </si>
  <si>
    <t>CSA-Z245.20-06 Cláusula 12.8</t>
  </si>
  <si>
    <t>Diámetro externo cañería</t>
  </si>
  <si>
    <t>Total de cajas de tape de cera de 6" ancho</t>
  </si>
  <si>
    <t>Total de cajas de tape de cera de 4" ancho</t>
  </si>
  <si>
    <t>ESPECIFICACIONES TÉCNICAS</t>
  </si>
  <si>
    <t>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</si>
</sst>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4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C6C6C6"/>
      </left>
      <right style="mediumDashed">
        <color rgb="FFC6C6C6"/>
      </right>
      <top style="mediumDashed">
        <color rgb="FFC6C6C6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">
        <color rgb="FFCDCDCD"/>
      </top>
      <bottom style="mediumDashed">
        <color rgb="FFC6C6C6"/>
      </bottom>
      <diagonal/>
    </border>
    <border>
      <left style="mediumDashed">
        <color rgb="FFC6C6C6"/>
      </left>
      <right style="mediumDashed">
        <color rgb="FFC6C6C6"/>
      </right>
      <top style="medium">
        <color rgb="FFCDCDCD"/>
      </top>
      <bottom style="mediumDashed">
        <color rgb="FFC6C6C6"/>
      </bottom>
      <diagonal/>
    </border>
    <border>
      <left style="mediumDashed">
        <color rgb="FFC6C6C6"/>
      </left>
      <right style="medium">
        <color rgb="FFCDCDCD"/>
      </right>
      <top style="medium">
        <color rgb="FFCDCDCD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Dashed">
        <color rgb="FFC6C6C6"/>
      </top>
      <bottom style="mediumDashed">
        <color rgb="FFC6C6C6"/>
      </bottom>
      <diagonal/>
    </border>
    <border>
      <left style="mediumDashed">
        <color rgb="FFC6C6C6"/>
      </left>
      <right style="medium">
        <color rgb="FFCDCDCD"/>
      </right>
      <top style="mediumDashed">
        <color rgb="FFC6C6C6"/>
      </top>
      <bottom style="mediumDashed">
        <color rgb="FFC6C6C6"/>
      </bottom>
      <diagonal/>
    </border>
    <border>
      <left style="medium">
        <color rgb="FFCDCDCD"/>
      </left>
      <right style="mediumDashed">
        <color rgb="FFC6C6C6"/>
      </right>
      <top style="mediumDashed">
        <color rgb="FFC6C6C6"/>
      </top>
      <bottom style="medium">
        <color rgb="FFCDCDCD"/>
      </bottom>
      <diagonal/>
    </border>
    <border>
      <left style="mediumDashed">
        <color rgb="FFC6C6C6"/>
      </left>
      <right style="mediumDashed">
        <color rgb="FFC6C6C6"/>
      </right>
      <top style="mediumDashed">
        <color rgb="FFC6C6C6"/>
      </top>
      <bottom style="medium">
        <color rgb="FFCDCDCD"/>
      </bottom>
      <diagonal/>
    </border>
    <border>
      <left style="mediumDashed">
        <color rgb="FFC6C6C6"/>
      </left>
      <right style="medium">
        <color rgb="FFCDCDCD"/>
      </right>
      <top style="mediumDashed">
        <color rgb="FFC6C6C6"/>
      </top>
      <bottom style="medium">
        <color rgb="FFCDCDCD"/>
      </bottom>
      <diagonal/>
    </border>
    <border>
      <left style="medium">
        <color rgb="FFCDCDCD"/>
      </left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/>
      <top style="medium">
        <color rgb="FFCDCDCD"/>
      </top>
      <bottom/>
      <diagonal/>
    </border>
    <border>
      <left/>
      <right style="medium">
        <color rgb="FFFFFFFF"/>
      </right>
      <top style="medium">
        <color rgb="FFCDCDCD"/>
      </top>
      <bottom/>
      <diagonal/>
    </border>
    <border>
      <left style="medium">
        <color rgb="FFFFFFFF"/>
      </left>
      <right style="medium">
        <color rgb="FFCDCDCD"/>
      </right>
      <top style="medium">
        <color rgb="FFCDCDCD"/>
      </top>
      <bottom/>
      <diagonal/>
    </border>
    <border>
      <left style="medium">
        <color rgb="FFCDCDCD"/>
      </left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/>
      <top/>
      <bottom style="medium">
        <color rgb="FFCDCDCD"/>
      </bottom>
      <diagonal/>
    </border>
    <border>
      <left/>
      <right style="medium">
        <color rgb="FFFFFFFF"/>
      </right>
      <top/>
      <bottom style="medium">
        <color rgb="FFCDCDCD"/>
      </bottom>
      <diagonal/>
    </border>
    <border>
      <left style="medium">
        <color rgb="FFFFFFFF"/>
      </left>
      <right style="medium">
        <color rgb="FFCDCDCD"/>
      </right>
      <top/>
      <bottom style="medium">
        <color rgb="FFCDCDC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9" fontId="0" fillId="0" borderId="0" xfId="0" quotePrefix="1" applyNumberFormat="1"/>
    <xf numFmtId="9" fontId="0" fillId="0" borderId="0" xfId="0" applyNumberFormat="1" applyAlignment="1">
      <alignment horizontal="left"/>
    </xf>
    <xf numFmtId="0" fontId="0" fillId="4" borderId="1" xfId="0" applyFill="1" applyBorder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0" fillId="3" borderId="1" xfId="0" applyFill="1" applyBorder="1" applyAlignment="1">
      <alignment vertical="center"/>
    </xf>
    <xf numFmtId="9" fontId="0" fillId="4" borderId="1" xfId="0" applyNumberFormat="1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horizontal="center" vertical="center" wrapText="1"/>
    </xf>
    <xf numFmtId="0" fontId="14" fillId="0" borderId="0" xfId="0" applyFont="1"/>
    <xf numFmtId="0" fontId="15" fillId="0" borderId="34" xfId="0" applyFont="1" applyBorder="1" applyAlignment="1">
      <alignment horizontal="centerContinuous"/>
    </xf>
    <xf numFmtId="9" fontId="0" fillId="0" borderId="27" xfId="0" applyNumberFormat="1" applyBorder="1" applyAlignment="1"/>
    <xf numFmtId="0" fontId="0" fillId="0" borderId="0" xfId="0" applyBorder="1"/>
    <xf numFmtId="0" fontId="15" fillId="0" borderId="35" xfId="0" applyFont="1" applyBorder="1"/>
    <xf numFmtId="0" fontId="0" fillId="0" borderId="0" xfId="0" applyAlignment="1">
      <alignment horizontal="centerContinuous"/>
    </xf>
    <xf numFmtId="0" fontId="15" fillId="0" borderId="35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16" fillId="0" borderId="0" xfId="0" applyFont="1" applyBorder="1"/>
    <xf numFmtId="0" fontId="0" fillId="0" borderId="34" xfId="0" applyBorder="1" applyAlignment="1">
      <alignment horizontal="centerContinuous"/>
    </xf>
    <xf numFmtId="0" fontId="0" fillId="0" borderId="27" xfId="0" applyBorder="1"/>
    <xf numFmtId="0" fontId="0" fillId="0" borderId="35" xfId="0" applyBorder="1"/>
    <xf numFmtId="0" fontId="0" fillId="0" borderId="35" xfId="0" applyBorder="1" applyAlignment="1">
      <alignment horizontal="centerContinuous"/>
    </xf>
    <xf numFmtId="0" fontId="16" fillId="0" borderId="27" xfId="0" applyFont="1" applyBorder="1"/>
    <xf numFmtId="0" fontId="16" fillId="0" borderId="0" xfId="0" applyFont="1"/>
    <xf numFmtId="164" fontId="16" fillId="0" borderId="0" xfId="0" applyNumberFormat="1" applyFont="1" applyAlignment="1">
      <alignment horizontal="centerContinuous"/>
    </xf>
    <xf numFmtId="0" fontId="16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quotePrefix="1" applyBorder="1"/>
    <xf numFmtId="0" fontId="0" fillId="4" borderId="1" xfId="0" applyFill="1" applyBorder="1"/>
    <xf numFmtId="9" fontId="0" fillId="0" borderId="1" xfId="0" applyNumberFormat="1" applyFill="1" applyBorder="1" applyAlignment="1">
      <alignment vertical="center"/>
    </xf>
    <xf numFmtId="9" fontId="0" fillId="0" borderId="1" xfId="0" applyNumberForma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center" vertical="top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165" fontId="0" fillId="0" borderId="0" xfId="0" applyNumberFormat="1"/>
    <xf numFmtId="164" fontId="0" fillId="0" borderId="0" xfId="0" applyNumberFormat="1" applyAlignment="1">
      <alignment horizontal="centerContinuous"/>
    </xf>
    <xf numFmtId="2" fontId="0" fillId="0" borderId="0" xfId="0" applyNumberFormat="1" applyAlignment="1">
      <alignment horizontal="centerContinuous"/>
    </xf>
    <xf numFmtId="1" fontId="0" fillId="0" borderId="0" xfId="0" applyNumberFormat="1" applyAlignment="1">
      <alignment horizontal="centerContinuous"/>
    </xf>
    <xf numFmtId="1" fontId="16" fillId="0" borderId="0" xfId="0" applyNumberFormat="1" applyFont="1" applyBorder="1" applyAlignment="1">
      <alignment horizontal="centerContinuous"/>
    </xf>
    <xf numFmtId="1" fontId="16" fillId="0" borderId="0" xfId="0" applyNumberFormat="1" applyFont="1" applyAlignment="1">
      <alignment horizontal="centerContinuous"/>
    </xf>
    <xf numFmtId="2" fontId="0" fillId="0" borderId="0" xfId="0" applyNumberFormat="1" applyBorder="1" applyAlignment="1">
      <alignment horizontal="centerContinuous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horizontal="center" wrapText="1"/>
    </xf>
    <xf numFmtId="0" fontId="11" fillId="6" borderId="1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12" fillId="0" borderId="28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17" xfId="0" applyFont="1" applyFill="1" applyBorder="1" applyAlignment="1">
      <alignment horizontal="left" vertical="top" wrapText="1"/>
    </xf>
    <xf numFmtId="0" fontId="7" fillId="5" borderId="13" xfId="0" applyFont="1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left" vertical="top" wrapText="1"/>
    </xf>
    <xf numFmtId="0" fontId="7" fillId="5" borderId="18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7" fillId="5" borderId="20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1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5" fmlaLink="$E$20" fmlaRange="Hoja2!$E$2:$E$9" noThreeD="1" sel="5" val="0"/>
</file>

<file path=xl/ctrlProps/ctrlProp2.xml><?xml version="1.0" encoding="utf-8"?>
<formControlPr xmlns="http://schemas.microsoft.com/office/spreadsheetml/2009/9/main" objectType="Drop" dropStyle="combo" dx="15" fmlaLink="$E$23" fmlaRange="Hoja2!$T$2:$T$5" noThreeD="1" sel="2" val="0"/>
</file>

<file path=xl/ctrlProps/ctrlProp3.xml><?xml version="1.0" encoding="utf-8"?>
<formControlPr xmlns="http://schemas.microsoft.com/office/spreadsheetml/2009/9/main" objectType="Drop" dropStyle="combo" dx="15" fmlaLink="$E$19" fmlaRange="Hoja2!$E$2:$E$9" noThreeD="1" sel="5" val="0"/>
</file>

<file path=xl/ctrlProps/ctrlProp4.xml><?xml version="1.0" encoding="utf-8"?>
<formControlPr xmlns="http://schemas.microsoft.com/office/spreadsheetml/2009/9/main" objectType="Drop" dropStyle="combo" dx="15" fmlaLink="$E$21" fmlaRange="Hoja2!$I$2:$I$6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0</xdr:col>
      <xdr:colOff>1133475</xdr:colOff>
      <xdr:row>1</xdr:row>
      <xdr:rowOff>161925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" y="19050"/>
          <a:ext cx="1076325" cy="4953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19</xdr:row>
          <xdr:rowOff>76200</xdr:rowOff>
        </xdr:from>
        <xdr:to>
          <xdr:col>1</xdr:col>
          <xdr:colOff>1162050</xdr:colOff>
          <xdr:row>19</xdr:row>
          <xdr:rowOff>260350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698500</xdr:colOff>
          <xdr:row>22</xdr:row>
          <xdr:rowOff>76200</xdr:rowOff>
        </xdr:from>
        <xdr:to>
          <xdr:col>1</xdr:col>
          <xdr:colOff>1174750</xdr:colOff>
          <xdr:row>22</xdr:row>
          <xdr:rowOff>266700</xdr:rowOff>
        </xdr:to>
        <xdr:sp macro="" textlink="">
          <xdr:nvSpPr>
            <xdr:cNvPr id="4104" name="Drop Down 8" descr="Esta casilla no debe estar en blanco&#10;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76199</xdr:rowOff>
    </xdr:from>
    <xdr:to>
      <xdr:col>9</xdr:col>
      <xdr:colOff>184607</xdr:colOff>
      <xdr:row>32</xdr:row>
      <xdr:rowOff>161924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4199"/>
          <a:ext cx="8804732" cy="294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38101</xdr:colOff>
      <xdr:row>34</xdr:row>
      <xdr:rowOff>57150</xdr:rowOff>
    </xdr:from>
    <xdr:to>
      <xdr:col>5</xdr:col>
      <xdr:colOff>60576</xdr:colOff>
      <xdr:row>54</xdr:row>
      <xdr:rowOff>123825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6419850"/>
          <a:ext cx="5594600" cy="387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180975</xdr:colOff>
      <xdr:row>34</xdr:row>
      <xdr:rowOff>114300</xdr:rowOff>
    </xdr:from>
    <xdr:to>
      <xdr:col>12</xdr:col>
      <xdr:colOff>676275</xdr:colOff>
      <xdr:row>52</xdr:row>
      <xdr:rowOff>0</xdr:rowOff>
    </xdr:to>
    <xdr:pic>
      <xdr:nvPicPr>
        <xdr:cNvPr id="4" name="3 Imagen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1644" t="48833" r="20537" b="17178"/>
        <a:stretch/>
      </xdr:blipFill>
      <xdr:spPr>
        <a:xfrm>
          <a:off x="5753100" y="6477000"/>
          <a:ext cx="5829300" cy="33147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56</xdr:row>
      <xdr:rowOff>76200</xdr:rowOff>
    </xdr:from>
    <xdr:to>
      <xdr:col>12</xdr:col>
      <xdr:colOff>409575</xdr:colOff>
      <xdr:row>75</xdr:row>
      <xdr:rowOff>152400</xdr:rowOff>
    </xdr:to>
    <xdr:pic>
      <xdr:nvPicPr>
        <xdr:cNvPr id="5" name="4 Imagen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32660" t="41216" r="21475" b="20889"/>
        <a:stretch/>
      </xdr:blipFill>
      <xdr:spPr>
        <a:xfrm>
          <a:off x="5724525" y="10477500"/>
          <a:ext cx="5591175" cy="3695700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56</xdr:row>
      <xdr:rowOff>180975</xdr:rowOff>
    </xdr:from>
    <xdr:to>
      <xdr:col>4</xdr:col>
      <xdr:colOff>609600</xdr:colOff>
      <xdr:row>75</xdr:row>
      <xdr:rowOff>114300</xdr:rowOff>
    </xdr:to>
    <xdr:pic>
      <xdr:nvPicPr>
        <xdr:cNvPr id="6" name="5 Imagen"/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33755" t="35356" r="23506" b="28214"/>
        <a:stretch/>
      </xdr:blipFill>
      <xdr:spPr>
        <a:xfrm>
          <a:off x="209550" y="10582275"/>
          <a:ext cx="5210175" cy="3552825"/>
        </a:xfrm>
        <a:prstGeom prst="rect">
          <a:avLst/>
        </a:prstGeom>
      </xdr:spPr>
    </xdr:pic>
    <xdr:clientData/>
  </xdr:twoCellAnchor>
  <xdr:twoCellAnchor editAs="oneCell">
    <xdr:from>
      <xdr:col>9</xdr:col>
      <xdr:colOff>123825</xdr:colOff>
      <xdr:row>17</xdr:row>
      <xdr:rowOff>95251</xdr:rowOff>
    </xdr:from>
    <xdr:to>
      <xdr:col>18</xdr:col>
      <xdr:colOff>733424</xdr:colOff>
      <xdr:row>33</xdr:row>
      <xdr:rowOff>85791</xdr:rowOff>
    </xdr:to>
    <xdr:pic>
      <xdr:nvPicPr>
        <xdr:cNvPr id="7" name="6 Imagen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3067051"/>
          <a:ext cx="7467599" cy="3038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1257300</xdr:colOff>
      <xdr:row>2</xdr:row>
      <xdr:rowOff>171833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257300" cy="53759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247650</xdr:colOff>
          <xdr:row>18</xdr:row>
          <xdr:rowOff>69850</xdr:rowOff>
        </xdr:from>
        <xdr:to>
          <xdr:col>1</xdr:col>
          <xdr:colOff>927100</xdr:colOff>
          <xdr:row>18</xdr:row>
          <xdr:rowOff>266700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20</xdr:row>
          <xdr:rowOff>57150</xdr:rowOff>
        </xdr:from>
        <xdr:to>
          <xdr:col>1</xdr:col>
          <xdr:colOff>1390650</xdr:colOff>
          <xdr:row>20</xdr:row>
          <xdr:rowOff>260350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2</xdr:row>
      <xdr:rowOff>127635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1076325" cy="4933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TA17"/>
  <sheetViews>
    <sheetView workbookViewId="0">
      <selection activeCell="I11" sqref="I11"/>
    </sheetView>
  </sheetViews>
  <sheetFormatPr baseColWidth="10" defaultRowHeight="14.5" x14ac:dyDescent="0.35"/>
  <cols>
    <col min="1" max="1" width="3" bestFit="1" customWidth="1"/>
    <col min="2" max="2" width="10.54296875" customWidth="1"/>
    <col min="3" max="3" width="10.7265625" customWidth="1"/>
    <col min="4" max="4" width="14.453125" customWidth="1"/>
    <col min="5" max="5" width="10.1796875" customWidth="1"/>
    <col min="6" max="6" width="9.7265625" customWidth="1"/>
    <col min="7" max="7" width="19.1796875" customWidth="1"/>
    <col min="8" max="8" width="12.54296875" customWidth="1"/>
    <col min="9" max="9" width="20.7265625" customWidth="1"/>
    <col min="10" max="10" width="14.1796875" customWidth="1"/>
    <col min="11" max="11" width="10" customWidth="1"/>
    <col min="12" max="12" width="8.26953125" customWidth="1"/>
    <col min="13" max="14" width="8.54296875" customWidth="1"/>
    <col min="15" max="15" width="9.26953125" customWidth="1"/>
    <col min="16" max="16" width="11.54296875" customWidth="1"/>
    <col min="17" max="17" width="14.26953125" customWidth="1"/>
    <col min="18" max="18" width="15.7265625" customWidth="1"/>
    <col min="19" max="19" width="13.26953125" customWidth="1"/>
  </cols>
  <sheetData>
    <row r="1" spans="1:521" s="3" customFormat="1" ht="42" customHeight="1" x14ac:dyDescent="0.35">
      <c r="B1" s="3" t="s">
        <v>2</v>
      </c>
      <c r="C1" s="3" t="s">
        <v>5</v>
      </c>
      <c r="D1" s="3" t="s">
        <v>4</v>
      </c>
      <c r="E1" s="3" t="s">
        <v>11</v>
      </c>
      <c r="F1" s="3" t="s">
        <v>11</v>
      </c>
      <c r="G1" s="3" t="s">
        <v>14</v>
      </c>
      <c r="H1" s="3" t="s">
        <v>14</v>
      </c>
      <c r="I1" s="3" t="s">
        <v>21</v>
      </c>
      <c r="J1" s="3" t="s">
        <v>21</v>
      </c>
      <c r="K1" s="3" t="s">
        <v>27</v>
      </c>
      <c r="L1" s="3" t="s">
        <v>27</v>
      </c>
      <c r="M1" s="3" t="s">
        <v>36</v>
      </c>
      <c r="N1" s="3" t="s">
        <v>36</v>
      </c>
      <c r="O1" s="3" t="s">
        <v>69</v>
      </c>
      <c r="P1" s="3" t="s">
        <v>70</v>
      </c>
      <c r="Q1" s="3" t="s">
        <v>73</v>
      </c>
      <c r="R1" s="3" t="s">
        <v>74</v>
      </c>
      <c r="S1" s="3" t="s">
        <v>72</v>
      </c>
      <c r="T1" s="3" t="s">
        <v>75</v>
      </c>
    </row>
    <row r="2" spans="1:521" ht="16.5" x14ac:dyDescent="0.35">
      <c r="A2">
        <v>1</v>
      </c>
      <c r="B2" t="s">
        <v>0</v>
      </c>
      <c r="C2" t="s">
        <v>48</v>
      </c>
      <c r="D2" t="s">
        <v>6</v>
      </c>
      <c r="E2">
        <v>2</v>
      </c>
      <c r="F2">
        <v>2.375</v>
      </c>
      <c r="G2" t="s">
        <v>24</v>
      </c>
      <c r="H2">
        <f>142.3*11.24*0.75</f>
        <v>1199.5890000000002</v>
      </c>
      <c r="I2" t="s">
        <v>160</v>
      </c>
      <c r="J2">
        <v>25</v>
      </c>
      <c r="K2" t="s">
        <v>31</v>
      </c>
      <c r="L2">
        <v>0.75</v>
      </c>
      <c r="M2" t="s">
        <v>38</v>
      </c>
      <c r="N2">
        <v>6</v>
      </c>
      <c r="O2">
        <v>4</v>
      </c>
      <c r="P2" t="s">
        <v>28</v>
      </c>
      <c r="Q2">
        <v>8</v>
      </c>
      <c r="R2">
        <v>14</v>
      </c>
      <c r="S2">
        <v>0.5</v>
      </c>
      <c r="T2">
        <v>4</v>
      </c>
      <c r="TA2">
        <v>6</v>
      </c>
    </row>
    <row r="3" spans="1:521" ht="16.5" x14ac:dyDescent="0.35">
      <c r="A3">
        <v>2</v>
      </c>
      <c r="B3" t="s">
        <v>1</v>
      </c>
      <c r="C3" t="s">
        <v>47</v>
      </c>
      <c r="D3" t="s">
        <v>7</v>
      </c>
      <c r="E3">
        <v>4</v>
      </c>
      <c r="F3">
        <v>4.5</v>
      </c>
      <c r="G3" t="s">
        <v>23</v>
      </c>
      <c r="H3">
        <v>1605</v>
      </c>
      <c r="I3" t="s">
        <v>78</v>
      </c>
      <c r="J3">
        <v>30</v>
      </c>
      <c r="K3" t="s">
        <v>28</v>
      </c>
      <c r="L3">
        <v>1</v>
      </c>
      <c r="M3" t="s">
        <v>39</v>
      </c>
      <c r="N3">
        <v>9</v>
      </c>
      <c r="O3">
        <v>4</v>
      </c>
      <c r="P3" s="18" t="s">
        <v>71</v>
      </c>
      <c r="Q3">
        <v>17</v>
      </c>
      <c r="R3">
        <v>28</v>
      </c>
      <c r="S3">
        <v>1</v>
      </c>
      <c r="T3">
        <f>IF(' Cinta de polietileno'!E20&lt;=3,6,IF(' Cinta de polietileno'!E20&gt;=4,6))</f>
        <v>6</v>
      </c>
    </row>
    <row r="4" spans="1:521" ht="16.5" x14ac:dyDescent="0.35">
      <c r="A4">
        <v>3</v>
      </c>
      <c r="C4" t="s">
        <v>3</v>
      </c>
      <c r="D4" t="s">
        <v>8</v>
      </c>
      <c r="E4">
        <v>6</v>
      </c>
      <c r="F4">
        <v>6.625</v>
      </c>
      <c r="G4" t="s">
        <v>25</v>
      </c>
      <c r="H4">
        <v>1604</v>
      </c>
      <c r="I4" t="s">
        <v>19</v>
      </c>
      <c r="J4">
        <v>40</v>
      </c>
      <c r="K4" t="s">
        <v>33</v>
      </c>
      <c r="L4">
        <v>1.25</v>
      </c>
      <c r="M4" t="s">
        <v>55</v>
      </c>
      <c r="N4">
        <v>18</v>
      </c>
      <c r="O4">
        <v>4</v>
      </c>
      <c r="Q4">
        <v>26</v>
      </c>
      <c r="R4">
        <v>42</v>
      </c>
      <c r="S4">
        <v>1.5</v>
      </c>
      <c r="T4">
        <f>IF(' Cinta de polietileno'!E20&gt;3,9,IF(' Cinta de polietileno'!E20&lt;6,""))</f>
        <v>9</v>
      </c>
    </row>
    <row r="5" spans="1:521" x14ac:dyDescent="0.35">
      <c r="A5">
        <v>4</v>
      </c>
      <c r="E5">
        <v>8</v>
      </c>
      <c r="F5">
        <v>8.625</v>
      </c>
      <c r="I5" t="s">
        <v>18</v>
      </c>
      <c r="J5">
        <v>4</v>
      </c>
      <c r="K5" t="s">
        <v>34</v>
      </c>
      <c r="L5">
        <v>1.5</v>
      </c>
      <c r="O5">
        <v>4</v>
      </c>
      <c r="Q5">
        <v>35</v>
      </c>
      <c r="R5">
        <v>56</v>
      </c>
      <c r="S5">
        <v>2</v>
      </c>
      <c r="T5" t="str">
        <f>IF(' Cinta de polietileno'!E20&gt;=7,18,"")</f>
        <v/>
      </c>
    </row>
    <row r="6" spans="1:521" x14ac:dyDescent="0.35">
      <c r="A6">
        <v>5</v>
      </c>
      <c r="E6">
        <v>10</v>
      </c>
      <c r="F6">
        <v>10.75</v>
      </c>
      <c r="I6" t="s">
        <v>30</v>
      </c>
      <c r="J6">
        <v>1</v>
      </c>
      <c r="K6" t="s">
        <v>32</v>
      </c>
      <c r="L6">
        <v>1.75</v>
      </c>
      <c r="O6">
        <v>6</v>
      </c>
      <c r="Q6">
        <v>38</v>
      </c>
      <c r="R6">
        <v>70</v>
      </c>
      <c r="S6">
        <v>2.5</v>
      </c>
    </row>
    <row r="7" spans="1:521" x14ac:dyDescent="0.35">
      <c r="A7">
        <v>6</v>
      </c>
      <c r="E7">
        <v>12</v>
      </c>
      <c r="F7">
        <v>12.75</v>
      </c>
      <c r="K7" t="s">
        <v>29</v>
      </c>
      <c r="L7">
        <v>2</v>
      </c>
      <c r="O7">
        <v>6</v>
      </c>
      <c r="Q7">
        <v>46</v>
      </c>
      <c r="R7">
        <v>84</v>
      </c>
      <c r="S7">
        <v>3.25</v>
      </c>
    </row>
    <row r="8" spans="1:521" x14ac:dyDescent="0.35">
      <c r="A8">
        <v>7</v>
      </c>
      <c r="E8">
        <v>24</v>
      </c>
      <c r="F8">
        <v>24</v>
      </c>
      <c r="O8">
        <v>6</v>
      </c>
      <c r="Q8">
        <v>54</v>
      </c>
      <c r="R8">
        <v>98</v>
      </c>
      <c r="S8">
        <v>3.75</v>
      </c>
    </row>
    <row r="9" spans="1:521" x14ac:dyDescent="0.35">
      <c r="A9">
        <v>8</v>
      </c>
      <c r="E9">
        <v>26</v>
      </c>
      <c r="F9">
        <v>26</v>
      </c>
      <c r="O9">
        <v>6</v>
      </c>
      <c r="Q9">
        <v>62</v>
      </c>
      <c r="R9">
        <v>112</v>
      </c>
      <c r="S9">
        <v>4.25</v>
      </c>
    </row>
    <row r="10" spans="1:521" x14ac:dyDescent="0.35">
      <c r="A10">
        <v>9</v>
      </c>
      <c r="O10">
        <v>6</v>
      </c>
      <c r="Q10">
        <v>69</v>
      </c>
      <c r="R10">
        <v>126</v>
      </c>
      <c r="S10">
        <v>4.75</v>
      </c>
    </row>
    <row r="11" spans="1:521" x14ac:dyDescent="0.35">
      <c r="A11">
        <v>10</v>
      </c>
      <c r="O11">
        <v>6</v>
      </c>
      <c r="Q11">
        <v>77</v>
      </c>
      <c r="R11">
        <v>140</v>
      </c>
      <c r="S11">
        <v>5.25</v>
      </c>
    </row>
    <row r="12" spans="1:521" x14ac:dyDescent="0.35">
      <c r="A12">
        <v>11</v>
      </c>
      <c r="O12">
        <v>6</v>
      </c>
      <c r="Q12">
        <v>85</v>
      </c>
      <c r="R12">
        <v>154</v>
      </c>
      <c r="S12">
        <v>5.75</v>
      </c>
    </row>
    <row r="13" spans="1:521" x14ac:dyDescent="0.35">
      <c r="A13">
        <v>12</v>
      </c>
      <c r="O13">
        <v>6</v>
      </c>
      <c r="Q13">
        <v>92</v>
      </c>
      <c r="R13">
        <v>168</v>
      </c>
      <c r="S13">
        <v>6.25</v>
      </c>
    </row>
    <row r="14" spans="1:521" x14ac:dyDescent="0.35">
      <c r="B14" t="s">
        <v>17</v>
      </c>
    </row>
    <row r="15" spans="1:521" x14ac:dyDescent="0.35">
      <c r="B15">
        <v>47.7</v>
      </c>
    </row>
    <row r="16" spans="1:521" ht="16.5" x14ac:dyDescent="0.35">
      <c r="B16" t="s">
        <v>16</v>
      </c>
    </row>
    <row r="17" spans="2:2" x14ac:dyDescent="0.35">
      <c r="B17" t="s">
        <v>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F39"/>
  <sheetViews>
    <sheetView tabSelected="1" zoomScale="110" zoomScaleNormal="110" workbookViewId="0">
      <selection activeCell="B1" sqref="B1"/>
    </sheetView>
  </sheetViews>
  <sheetFormatPr baseColWidth="10" defaultRowHeight="14.5" x14ac:dyDescent="0.35"/>
  <cols>
    <col min="1" max="1" width="18.1796875" customWidth="1"/>
    <col min="2" max="2" width="18.453125" customWidth="1"/>
    <col min="3" max="3" width="22.1796875" customWidth="1"/>
    <col min="4" max="4" width="20.54296875" customWidth="1"/>
    <col min="5" max="5" width="2.7265625" style="2" customWidth="1"/>
    <col min="6" max="6" width="2.1796875" customWidth="1"/>
  </cols>
  <sheetData>
    <row r="1" spans="1:6" ht="27.75" customHeight="1" x14ac:dyDescent="0.35"/>
    <row r="2" spans="1:6" ht="19.5" customHeight="1" x14ac:dyDescent="0.35"/>
    <row r="3" spans="1:6" ht="28.5" customHeight="1" x14ac:dyDescent="0.35">
      <c r="A3" s="86" t="s">
        <v>113</v>
      </c>
      <c r="B3" s="86"/>
      <c r="C3" s="86"/>
      <c r="D3" s="86"/>
      <c r="E3" s="86"/>
      <c r="F3" s="86"/>
    </row>
    <row r="4" spans="1:6" ht="18.75" customHeight="1" x14ac:dyDescent="0.35">
      <c r="A4" s="86"/>
      <c r="B4" s="86"/>
      <c r="C4" s="86"/>
      <c r="D4" s="86"/>
      <c r="E4" s="86"/>
      <c r="F4" s="86"/>
    </row>
    <row r="5" spans="1:6" ht="13.5" customHeight="1" x14ac:dyDescent="0.35">
      <c r="A5" s="88" t="s">
        <v>81</v>
      </c>
      <c r="B5" s="88"/>
      <c r="C5" s="88"/>
      <c r="D5" s="88"/>
    </row>
    <row r="6" spans="1:6" ht="13.5" customHeight="1" x14ac:dyDescent="0.35">
      <c r="A6" s="88" t="s">
        <v>82</v>
      </c>
      <c r="B6" s="88"/>
      <c r="C6" s="88"/>
      <c r="D6" s="88"/>
    </row>
    <row r="7" spans="1:6" ht="9.75" customHeight="1" thickBot="1" x14ac:dyDescent="0.4"/>
    <row r="8" spans="1:6" ht="32.25" customHeight="1" thickBot="1" x14ac:dyDescent="0.4">
      <c r="A8" s="35" t="s">
        <v>84</v>
      </c>
      <c r="B8" s="36" t="s">
        <v>85</v>
      </c>
      <c r="C8" s="36" t="s">
        <v>86</v>
      </c>
      <c r="D8" s="36" t="s">
        <v>87</v>
      </c>
    </row>
    <row r="9" spans="1:6" ht="26.5" thickBot="1" x14ac:dyDescent="0.4">
      <c r="A9" s="37" t="s">
        <v>88</v>
      </c>
      <c r="B9" s="38" t="s">
        <v>89</v>
      </c>
      <c r="C9" s="38" t="s">
        <v>90</v>
      </c>
      <c r="D9" s="38" t="s">
        <v>91</v>
      </c>
    </row>
    <row r="10" spans="1:6" ht="15" thickBot="1" x14ac:dyDescent="0.4">
      <c r="A10" s="37" t="s">
        <v>92</v>
      </c>
      <c r="B10" s="38" t="s">
        <v>89</v>
      </c>
      <c r="C10" s="38" t="s">
        <v>93</v>
      </c>
      <c r="D10" s="38" t="s">
        <v>94</v>
      </c>
    </row>
    <row r="11" spans="1:6" ht="31.5" customHeight="1" thickBot="1" x14ac:dyDescent="0.4">
      <c r="A11" s="37" t="s">
        <v>95</v>
      </c>
      <c r="B11" s="38" t="s">
        <v>89</v>
      </c>
      <c r="C11" s="91" t="s">
        <v>96</v>
      </c>
      <c r="D11" s="92"/>
    </row>
    <row r="12" spans="1:6" ht="36" customHeight="1" thickBot="1" x14ac:dyDescent="0.4">
      <c r="A12" s="37" t="s">
        <v>4</v>
      </c>
      <c r="B12" s="38" t="s">
        <v>97</v>
      </c>
      <c r="C12" s="91" t="s">
        <v>98</v>
      </c>
      <c r="D12" s="92"/>
    </row>
    <row r="13" spans="1:6" ht="26.5" thickBot="1" x14ac:dyDescent="0.4">
      <c r="A13" s="37" t="s">
        <v>99</v>
      </c>
      <c r="B13" s="38" t="s">
        <v>100</v>
      </c>
      <c r="C13" s="91" t="s">
        <v>101</v>
      </c>
      <c r="D13" s="92"/>
    </row>
    <row r="14" spans="1:6" ht="39.5" thickBot="1" x14ac:dyDescent="0.4">
      <c r="A14" s="40" t="s">
        <v>102</v>
      </c>
      <c r="B14" s="41" t="s">
        <v>103</v>
      </c>
      <c r="C14" s="93" t="s">
        <v>104</v>
      </c>
      <c r="D14" s="94"/>
    </row>
    <row r="15" spans="1:6" ht="15" thickBot="1" x14ac:dyDescent="0.4">
      <c r="A15" s="37" t="s">
        <v>105</v>
      </c>
      <c r="B15" s="38" t="s">
        <v>89</v>
      </c>
      <c r="C15" s="95" t="s">
        <v>106</v>
      </c>
      <c r="D15" s="96"/>
    </row>
    <row r="16" spans="1:6" ht="15" thickBot="1" x14ac:dyDescent="0.4">
      <c r="A16" s="37" t="s">
        <v>107</v>
      </c>
      <c r="B16" s="38" t="s">
        <v>108</v>
      </c>
      <c r="C16" s="97" t="s">
        <v>109</v>
      </c>
      <c r="D16" s="98"/>
    </row>
    <row r="19" spans="1:5" x14ac:dyDescent="0.35">
      <c r="A19" s="33" t="s">
        <v>83</v>
      </c>
      <c r="B19" s="33"/>
      <c r="C19" s="33"/>
    </row>
    <row r="20" spans="1:5" ht="21" customHeight="1" x14ac:dyDescent="0.35">
      <c r="A20" s="6" t="s">
        <v>9</v>
      </c>
      <c r="B20" s="20"/>
      <c r="C20" s="6" t="s">
        <v>12</v>
      </c>
      <c r="E20" s="25">
        <v>5</v>
      </c>
    </row>
    <row r="21" spans="1:5" ht="15" customHeight="1" x14ac:dyDescent="0.35">
      <c r="A21" s="6" t="s">
        <v>10</v>
      </c>
      <c r="B21" s="24">
        <v>3280.84</v>
      </c>
      <c r="C21" s="6" t="s">
        <v>13</v>
      </c>
      <c r="E21" s="25"/>
    </row>
    <row r="22" spans="1:5" ht="25.5" customHeight="1" x14ac:dyDescent="0.35">
      <c r="A22" s="6" t="s">
        <v>26</v>
      </c>
      <c r="B22" s="21" t="s">
        <v>28</v>
      </c>
      <c r="C22" s="22"/>
      <c r="E22" s="25">
        <v>2</v>
      </c>
    </row>
    <row r="23" spans="1:5" ht="21.75" customHeight="1" x14ac:dyDescent="0.35">
      <c r="A23" s="6" t="s">
        <v>35</v>
      </c>
      <c r="B23" s="5"/>
      <c r="C23" s="6" t="s">
        <v>12</v>
      </c>
      <c r="E23" s="25">
        <v>2</v>
      </c>
    </row>
    <row r="24" spans="1:5" ht="30" customHeight="1" x14ac:dyDescent="0.35">
      <c r="A24" s="4" t="s">
        <v>20</v>
      </c>
      <c r="B24" s="1">
        <f>ROUND(0.0254*PI()*B21*(VLOOKUP(E20,Hoja2!A2:F13,6)*10.7639104),2)</f>
        <v>30293.34</v>
      </c>
      <c r="C24" s="6" t="s">
        <v>41</v>
      </c>
    </row>
    <row r="25" spans="1:5" ht="31.5" customHeight="1" x14ac:dyDescent="0.35">
      <c r="A25" s="84" t="s">
        <v>45</v>
      </c>
      <c r="B25" s="21">
        <f>IFERROR(ROUND(((VLOOKUP(E23,Hoja2!A2:T5,20))*B24)/(VLOOKUP(E23,Hoja2!A2:T5,20)-1)/100,0),"Elija Ancho cinta!")</f>
        <v>364</v>
      </c>
      <c r="C25" s="6" t="s">
        <v>42</v>
      </c>
    </row>
    <row r="26" spans="1:5" ht="18" customHeight="1" x14ac:dyDescent="0.35">
      <c r="A26" s="85"/>
      <c r="B26" s="26">
        <f>IFERROR(ROUND(B25/2,1),"Elija Ancho cinta!")</f>
        <v>182</v>
      </c>
      <c r="C26" s="6" t="s">
        <v>43</v>
      </c>
    </row>
    <row r="27" spans="1:5" ht="38.25" customHeight="1" x14ac:dyDescent="0.35">
      <c r="A27" s="32" t="s">
        <v>22</v>
      </c>
      <c r="B27" s="23">
        <v>0.45</v>
      </c>
      <c r="C27" s="6"/>
    </row>
    <row r="28" spans="1:5" ht="24.75" customHeight="1" x14ac:dyDescent="0.35">
      <c r="A28" s="4" t="s">
        <v>112</v>
      </c>
      <c r="B28" s="6">
        <f>ROUND((B24/((1604/5)-(1604/5*B27)))*3.78541178,2)</f>
        <v>649.91999999999996</v>
      </c>
      <c r="C28" s="6" t="s">
        <v>50</v>
      </c>
    </row>
    <row r="29" spans="1:5" ht="9.75" customHeight="1" x14ac:dyDescent="0.35"/>
    <row r="30" spans="1:5" x14ac:dyDescent="0.35">
      <c r="A30" t="s">
        <v>44</v>
      </c>
      <c r="B30" s="19"/>
    </row>
    <row r="31" spans="1:5" x14ac:dyDescent="0.35">
      <c r="A31" t="s">
        <v>46</v>
      </c>
    </row>
    <row r="32" spans="1:5" ht="20.25" customHeight="1" x14ac:dyDescent="0.35"/>
    <row r="33" spans="1:6" ht="17.25" customHeight="1" x14ac:dyDescent="0.35"/>
    <row r="34" spans="1:6" s="2" customFormat="1" ht="15.75" customHeight="1" x14ac:dyDescent="0.35">
      <c r="A34" s="89" t="s">
        <v>76</v>
      </c>
      <c r="B34" s="89"/>
      <c r="C34" s="89"/>
      <c r="D34" s="89"/>
      <c r="E34" s="89"/>
      <c r="F34" s="89"/>
    </row>
    <row r="35" spans="1:6" x14ac:dyDescent="0.35">
      <c r="A35" s="27"/>
      <c r="B35" s="28"/>
      <c r="C35" s="29"/>
      <c r="D35" s="27"/>
      <c r="E35" s="27"/>
      <c r="F35" s="29"/>
    </row>
    <row r="36" spans="1:6" x14ac:dyDescent="0.35">
      <c r="A36" s="83" t="s">
        <v>184</v>
      </c>
      <c r="B36" s="34" t="s">
        <v>83</v>
      </c>
      <c r="C36" s="90" t="s">
        <v>183</v>
      </c>
      <c r="D36" s="90"/>
      <c r="E36" s="90"/>
      <c r="F36" s="90"/>
    </row>
    <row r="37" spans="1:6" ht="159" customHeight="1" x14ac:dyDescent="0.35">
      <c r="A37" s="30" t="s">
        <v>79</v>
      </c>
      <c r="B37" s="31" t="str">
        <f>CONCATENATE(B25&amp;" Squares         "&amp;"("&amp;B26&amp;"  Rollos)")</f>
        <v>364 Squares         (182  Rollos)</v>
      </c>
      <c r="C37" s="87" t="s">
        <v>111</v>
      </c>
      <c r="D37" s="87"/>
      <c r="E37" s="87"/>
      <c r="F37" s="87"/>
    </row>
    <row r="38" spans="1:6" ht="228.75" customHeight="1" x14ac:dyDescent="0.35">
      <c r="A38" s="30" t="s">
        <v>80</v>
      </c>
      <c r="B38" s="31" t="str">
        <f>CONCATENATE(B25&amp;" Squares         "&amp;"("&amp;B26&amp;"  Rollos)")</f>
        <v>364 Squares         (182  Rollos)</v>
      </c>
      <c r="C38" s="87" t="s">
        <v>110</v>
      </c>
      <c r="D38" s="87"/>
      <c r="E38" s="87"/>
      <c r="F38" s="87"/>
    </row>
    <row r="39" spans="1:6" ht="27.75" customHeight="1" x14ac:dyDescent="0.35">
      <c r="A39" s="30" t="s">
        <v>77</v>
      </c>
      <c r="B39" s="31" t="str">
        <f>B28&amp;" litros"</f>
        <v>649,92 litros</v>
      </c>
      <c r="C39" s="87"/>
      <c r="D39" s="87"/>
      <c r="E39" s="87"/>
      <c r="F39" s="87"/>
    </row>
  </sheetData>
  <sheetProtection insertColumns="0" insertRows="0" deleteColumns="0" deleteRows="0" sort="0" autoFilter="0" pivotTables="0"/>
  <mergeCells count="15">
    <mergeCell ref="A25:A26"/>
    <mergeCell ref="A3:F4"/>
    <mergeCell ref="C39:F39"/>
    <mergeCell ref="A5:D5"/>
    <mergeCell ref="A6:D6"/>
    <mergeCell ref="A34:F34"/>
    <mergeCell ref="C36:F36"/>
    <mergeCell ref="C37:F37"/>
    <mergeCell ref="C38:F38"/>
    <mergeCell ref="C11:D11"/>
    <mergeCell ref="C12:D12"/>
    <mergeCell ref="C13:D13"/>
    <mergeCell ref="C14:D14"/>
    <mergeCell ref="C15:D15"/>
    <mergeCell ref="C16:D16"/>
  </mergeCells>
  <pageMargins left="1.1499999999999999" right="0.70866141732283472" top="0.74803149606299213" bottom="0.74803149606299213" header="0.31496062992125984" footer="0.31496062992125984"/>
  <pageSetup orientation="portrait" r:id="rId1"/>
  <headerFooter>
    <oddFooter xml:space="preserve">&amp;L&amp;"Times New Roman,Normal"&amp;8Rev. 0
Vigente desde: 16.10.2015
Documento al que pertenece: &amp;"Times New Roman,Cursiva"ITM.121 Aplicación de Revestimiento para Cañerías&amp;R&amp;"Times New Roman,Normal"&amp;8Pág. &amp;P de &amp;[4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autoLine="0" autoPict="0">
                <anchor moveWithCells="1">
                  <from>
                    <xdr:col>1</xdr:col>
                    <xdr:colOff>666750</xdr:colOff>
                    <xdr:row>19</xdr:row>
                    <xdr:rowOff>76200</xdr:rowOff>
                  </from>
                  <to>
                    <xdr:col>1</xdr:col>
                    <xdr:colOff>1162050</xdr:colOff>
                    <xdr:row>19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5" name="Drop Down 8">
              <controlPr defaultSize="0" autoLine="0" autoPict="0" altText="Esta casilla no debe estar en blanco_x000a_">
                <anchor moveWithCells="1">
                  <from>
                    <xdr:col>1</xdr:col>
                    <xdr:colOff>698500</xdr:colOff>
                    <xdr:row>22</xdr:row>
                    <xdr:rowOff>76200</xdr:rowOff>
                  </from>
                  <to>
                    <xdr:col>1</xdr:col>
                    <xdr:colOff>1174750</xdr:colOff>
                    <xdr:row>22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G56"/>
  <sheetViews>
    <sheetView zoomScale="85" zoomScaleNormal="85" workbookViewId="0">
      <selection activeCell="E3" sqref="E3:E14"/>
    </sheetView>
  </sheetViews>
  <sheetFormatPr baseColWidth="10" defaultRowHeight="14.5" x14ac:dyDescent="0.35"/>
  <cols>
    <col min="1" max="1" width="37.81640625" customWidth="1"/>
  </cols>
  <sheetData>
    <row r="1" spans="1:5" x14ac:dyDescent="0.35">
      <c r="A1" s="99" t="s">
        <v>64</v>
      </c>
      <c r="B1" s="101" t="s">
        <v>65</v>
      </c>
      <c r="C1" s="103" t="s">
        <v>66</v>
      </c>
      <c r="D1" s="104"/>
      <c r="E1" s="107" t="s">
        <v>68</v>
      </c>
    </row>
    <row r="2" spans="1:5" ht="24" customHeight="1" thickBot="1" x14ac:dyDescent="0.4">
      <c r="A2" s="100"/>
      <c r="B2" s="102"/>
      <c r="C2" s="105" t="s">
        <v>67</v>
      </c>
      <c r="D2" s="106"/>
      <c r="E2" s="108"/>
    </row>
    <row r="3" spans="1:5" ht="15.75" customHeight="1" thickBot="1" x14ac:dyDescent="0.4">
      <c r="A3" s="8" t="s">
        <v>29</v>
      </c>
      <c r="B3" s="9" t="s">
        <v>37</v>
      </c>
      <c r="C3" s="9">
        <v>8</v>
      </c>
      <c r="D3" s="9">
        <v>14</v>
      </c>
      <c r="E3" s="10">
        <v>0.5</v>
      </c>
    </row>
    <row r="4" spans="1:5" ht="15" thickBot="1" x14ac:dyDescent="0.4">
      <c r="A4" s="11" t="s">
        <v>37</v>
      </c>
      <c r="B4" s="7" t="s">
        <v>37</v>
      </c>
      <c r="C4" s="7">
        <v>17</v>
      </c>
      <c r="D4" s="7">
        <v>28</v>
      </c>
      <c r="E4" s="12">
        <v>1</v>
      </c>
    </row>
    <row r="5" spans="1:5" ht="15" thickBot="1" x14ac:dyDescent="0.4">
      <c r="A5" s="11" t="s">
        <v>38</v>
      </c>
      <c r="B5" s="7" t="s">
        <v>37</v>
      </c>
      <c r="C5" s="7">
        <v>26</v>
      </c>
      <c r="D5" s="7">
        <v>42</v>
      </c>
      <c r="E5" s="12">
        <v>1.5</v>
      </c>
    </row>
    <row r="6" spans="1:5" ht="15" thickBot="1" x14ac:dyDescent="0.4">
      <c r="A6" s="11" t="s">
        <v>51</v>
      </c>
      <c r="B6" s="7" t="s">
        <v>37</v>
      </c>
      <c r="C6" s="7">
        <v>35</v>
      </c>
      <c r="D6" s="7">
        <v>56</v>
      </c>
      <c r="E6" s="12">
        <v>2</v>
      </c>
    </row>
    <row r="7" spans="1:5" ht="15" thickBot="1" x14ac:dyDescent="0.4">
      <c r="A7" s="11" t="s">
        <v>52</v>
      </c>
      <c r="B7" s="7" t="s">
        <v>38</v>
      </c>
      <c r="C7" s="7">
        <v>38</v>
      </c>
      <c r="D7" s="7">
        <v>70</v>
      </c>
      <c r="E7" s="12">
        <v>2.5</v>
      </c>
    </row>
    <row r="8" spans="1:5" ht="15" thickBot="1" x14ac:dyDescent="0.4">
      <c r="A8" s="11" t="s">
        <v>40</v>
      </c>
      <c r="B8" s="7" t="s">
        <v>38</v>
      </c>
      <c r="C8" s="7">
        <v>46</v>
      </c>
      <c r="D8" s="7">
        <v>84</v>
      </c>
      <c r="E8" s="12">
        <v>3.25</v>
      </c>
    </row>
    <row r="9" spans="1:5" ht="15" thickBot="1" x14ac:dyDescent="0.4">
      <c r="A9" s="11" t="s">
        <v>53</v>
      </c>
      <c r="B9" s="7" t="s">
        <v>38</v>
      </c>
      <c r="C9" s="7">
        <v>54</v>
      </c>
      <c r="D9" s="7">
        <v>98</v>
      </c>
      <c r="E9" s="12">
        <v>3.75</v>
      </c>
    </row>
    <row r="10" spans="1:5" ht="15" thickBot="1" x14ac:dyDescent="0.4">
      <c r="A10" s="11" t="s">
        <v>54</v>
      </c>
      <c r="B10" s="7" t="s">
        <v>38</v>
      </c>
      <c r="C10" s="7">
        <v>62</v>
      </c>
      <c r="D10" s="7">
        <v>112</v>
      </c>
      <c r="E10" s="12">
        <v>4.25</v>
      </c>
    </row>
    <row r="11" spans="1:5" ht="15" thickBot="1" x14ac:dyDescent="0.4">
      <c r="A11" s="11" t="s">
        <v>55</v>
      </c>
      <c r="B11" s="7" t="s">
        <v>38</v>
      </c>
      <c r="C11" s="7">
        <v>69</v>
      </c>
      <c r="D11" s="7">
        <v>126</v>
      </c>
      <c r="E11" s="12">
        <v>4.75</v>
      </c>
    </row>
    <row r="12" spans="1:5" ht="15" thickBot="1" x14ac:dyDescent="0.4">
      <c r="A12" s="11" t="s">
        <v>56</v>
      </c>
      <c r="B12" s="7" t="s">
        <v>38</v>
      </c>
      <c r="C12" s="7">
        <v>77</v>
      </c>
      <c r="D12" s="7">
        <v>140</v>
      </c>
      <c r="E12" s="12">
        <v>5.25</v>
      </c>
    </row>
    <row r="13" spans="1:5" ht="15" thickBot="1" x14ac:dyDescent="0.4">
      <c r="A13" s="11" t="s">
        <v>57</v>
      </c>
      <c r="B13" s="7" t="s">
        <v>38</v>
      </c>
      <c r="C13" s="7">
        <v>85</v>
      </c>
      <c r="D13" s="7">
        <v>154</v>
      </c>
      <c r="E13" s="12">
        <v>5.75</v>
      </c>
    </row>
    <row r="14" spans="1:5" ht="15" thickBot="1" x14ac:dyDescent="0.4">
      <c r="A14" s="13" t="s">
        <v>58</v>
      </c>
      <c r="B14" s="14" t="s">
        <v>38</v>
      </c>
      <c r="C14" s="14">
        <v>92</v>
      </c>
      <c r="D14" s="14">
        <v>168</v>
      </c>
      <c r="E14" s="15">
        <v>6.25</v>
      </c>
    </row>
    <row r="17" spans="1:1" ht="21" x14ac:dyDescent="0.5">
      <c r="A17" s="16" t="s">
        <v>59</v>
      </c>
    </row>
    <row r="34" spans="1:1" ht="21" x14ac:dyDescent="0.5">
      <c r="A34" s="16" t="s">
        <v>61</v>
      </c>
    </row>
    <row r="55" spans="1:7" ht="23.5" x14ac:dyDescent="0.55000000000000004">
      <c r="G55" s="17" t="s">
        <v>60</v>
      </c>
    </row>
    <row r="56" spans="1:7" ht="21" x14ac:dyDescent="0.5">
      <c r="A56" s="16" t="s">
        <v>62</v>
      </c>
    </row>
  </sheetData>
  <mergeCells count="5">
    <mergeCell ref="A1:A2"/>
    <mergeCell ref="B1:B2"/>
    <mergeCell ref="C1:D1"/>
    <mergeCell ref="C2:D2"/>
    <mergeCell ref="E1:E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/>
  <dimension ref="A4:F33"/>
  <sheetViews>
    <sheetView zoomScaleNormal="100" workbookViewId="0">
      <selection activeCell="F17" sqref="F17"/>
    </sheetView>
  </sheetViews>
  <sheetFormatPr baseColWidth="10" defaultRowHeight="14.5" x14ac:dyDescent="0.35"/>
  <cols>
    <col min="1" max="1" width="26.81640625" customWidth="1"/>
    <col min="2" max="2" width="22.26953125" customWidth="1"/>
    <col min="3" max="3" width="17" customWidth="1"/>
    <col min="4" max="4" width="17.1796875" customWidth="1"/>
    <col min="5" max="5" width="4.7265625" style="2" customWidth="1"/>
    <col min="6" max="6" width="12.7265625" customWidth="1"/>
  </cols>
  <sheetData>
    <row r="4" spans="1:6" ht="14.5" customHeight="1" x14ac:dyDescent="0.35">
      <c r="A4" s="86" t="s">
        <v>172</v>
      </c>
      <c r="B4" s="86"/>
      <c r="C4" s="86"/>
      <c r="D4" s="86"/>
      <c r="E4" s="81"/>
      <c r="F4" s="81"/>
    </row>
    <row r="5" spans="1:6" x14ac:dyDescent="0.35">
      <c r="A5" s="86"/>
      <c r="B5" s="86"/>
      <c r="C5" s="86"/>
      <c r="D5" s="86"/>
      <c r="E5" s="81"/>
      <c r="F5" s="81"/>
    </row>
    <row r="8" spans="1:6" ht="18" customHeight="1" x14ac:dyDescent="0.35">
      <c r="A8" s="88" t="s">
        <v>138</v>
      </c>
      <c r="B8" s="88"/>
      <c r="C8" s="88"/>
      <c r="D8" s="88"/>
    </row>
    <row r="9" spans="1:6" ht="18" customHeight="1" x14ac:dyDescent="0.35">
      <c r="A9" s="88" t="s">
        <v>173</v>
      </c>
      <c r="B9" s="88"/>
      <c r="C9" s="88"/>
      <c r="D9" s="88"/>
    </row>
    <row r="10" spans="1:6" x14ac:dyDescent="0.35">
      <c r="A10" s="39"/>
      <c r="B10" s="39"/>
      <c r="C10" s="39"/>
      <c r="D10" s="39"/>
    </row>
    <row r="11" spans="1:6" ht="29" x14ac:dyDescent="0.35">
      <c r="A11" s="59" t="s">
        <v>139</v>
      </c>
      <c r="B11" s="59" t="s">
        <v>140</v>
      </c>
      <c r="C11" s="59" t="s">
        <v>141</v>
      </c>
      <c r="D11" s="59" t="s">
        <v>142</v>
      </c>
    </row>
    <row r="12" spans="1:6" ht="28.5" customHeight="1" x14ac:dyDescent="0.35">
      <c r="A12" s="1" t="s">
        <v>143</v>
      </c>
      <c r="B12" s="60" t="s">
        <v>176</v>
      </c>
      <c r="C12" s="1" t="s">
        <v>144</v>
      </c>
      <c r="D12" s="1" t="s">
        <v>145</v>
      </c>
      <c r="E12" s="2">
        <v>1</v>
      </c>
    </row>
    <row r="13" spans="1:6" ht="30.75" customHeight="1" x14ac:dyDescent="0.35">
      <c r="A13" s="1" t="s">
        <v>146</v>
      </c>
      <c r="B13" s="60" t="s">
        <v>177</v>
      </c>
      <c r="C13" s="61" t="s">
        <v>147</v>
      </c>
      <c r="D13" s="1" t="s">
        <v>63</v>
      </c>
      <c r="E13" s="2">
        <v>1</v>
      </c>
    </row>
    <row r="14" spans="1:6" ht="27.75" customHeight="1" x14ac:dyDescent="0.35">
      <c r="A14" s="1" t="s">
        <v>4</v>
      </c>
      <c r="B14" s="60" t="s">
        <v>179</v>
      </c>
      <c r="C14" s="1" t="s">
        <v>148</v>
      </c>
      <c r="D14" s="1" t="s">
        <v>149</v>
      </c>
      <c r="E14" s="2">
        <v>2</v>
      </c>
    </row>
    <row r="15" spans="1:6" ht="30.75" customHeight="1" x14ac:dyDescent="0.35">
      <c r="A15" s="1" t="s">
        <v>49</v>
      </c>
      <c r="B15" s="60" t="s">
        <v>178</v>
      </c>
      <c r="C15" s="1" t="s">
        <v>150</v>
      </c>
      <c r="D15" s="1" t="s">
        <v>151</v>
      </c>
    </row>
    <row r="18" spans="1:6" x14ac:dyDescent="0.35">
      <c r="A18" s="59" t="s">
        <v>152</v>
      </c>
      <c r="B18" s="59"/>
      <c r="C18" s="59"/>
    </row>
    <row r="19" spans="1:6" ht="24.75" customHeight="1" x14ac:dyDescent="0.35">
      <c r="A19" s="1" t="s">
        <v>9</v>
      </c>
      <c r="B19" s="62"/>
      <c r="C19" s="1" t="s">
        <v>12</v>
      </c>
      <c r="E19" s="2">
        <v>5</v>
      </c>
    </row>
    <row r="20" spans="1:6" x14ac:dyDescent="0.35">
      <c r="A20" s="1" t="s">
        <v>10</v>
      </c>
      <c r="B20" s="5">
        <v>1000</v>
      </c>
      <c r="C20" s="1" t="s">
        <v>13</v>
      </c>
    </row>
    <row r="21" spans="1:6" ht="31.5" customHeight="1" x14ac:dyDescent="0.35">
      <c r="A21" s="60" t="s">
        <v>153</v>
      </c>
      <c r="B21" s="62"/>
      <c r="C21" s="1"/>
      <c r="E21" s="2">
        <v>2</v>
      </c>
    </row>
    <row r="22" spans="1:6" ht="18" customHeight="1" x14ac:dyDescent="0.35">
      <c r="A22" s="45"/>
      <c r="B22" s="45"/>
      <c r="C22" s="45"/>
    </row>
    <row r="24" spans="1:6" ht="18.75" customHeight="1" x14ac:dyDescent="0.35">
      <c r="A24" s="59" t="s">
        <v>20</v>
      </c>
      <c r="B24" s="6">
        <f>ROUND(0.0254*PI()*B20*(VLOOKUP(E19,Hoja2!A2:F13,6)),2)</f>
        <v>857.81</v>
      </c>
      <c r="C24" s="6" t="s">
        <v>154</v>
      </c>
    </row>
    <row r="25" spans="1:6" ht="18.75" customHeight="1" x14ac:dyDescent="0.35">
      <c r="A25" s="59"/>
      <c r="B25" s="6">
        <f>ROUND(B24*10.7639104,2)</f>
        <v>9233.39</v>
      </c>
      <c r="C25" s="6" t="s">
        <v>41</v>
      </c>
    </row>
    <row r="26" spans="1:6" ht="28.5" customHeight="1" x14ac:dyDescent="0.35">
      <c r="A26" s="59" t="s">
        <v>22</v>
      </c>
      <c r="B26" s="63">
        <v>0.3</v>
      </c>
      <c r="C26" s="64" t="s">
        <v>155</v>
      </c>
    </row>
    <row r="27" spans="1:6" x14ac:dyDescent="0.35">
      <c r="A27" s="59" t="s">
        <v>156</v>
      </c>
      <c r="B27" s="65">
        <f>ROUND((10.7639104*B24)/((Hoja2!H4)/(VLOOKUP(E21,Hoja2!A2:J13,10)))/(1-B26)*3.78541178,2)</f>
        <v>933.88</v>
      </c>
      <c r="C27" s="66" t="s">
        <v>50</v>
      </c>
    </row>
    <row r="30" spans="1:6" ht="18.5" x14ac:dyDescent="0.35">
      <c r="A30" s="110" t="s">
        <v>76</v>
      </c>
      <c r="B30" s="110"/>
      <c r="C30" s="110"/>
      <c r="D30" s="110"/>
      <c r="E30" s="110"/>
      <c r="F30" s="110"/>
    </row>
    <row r="31" spans="1:6" x14ac:dyDescent="0.35">
      <c r="A31" s="3"/>
      <c r="B31" s="67"/>
      <c r="D31" s="3"/>
      <c r="E31" s="3"/>
    </row>
    <row r="32" spans="1:6" x14ac:dyDescent="0.35">
      <c r="A32" s="68" t="s">
        <v>174</v>
      </c>
      <c r="B32" s="69" t="s">
        <v>157</v>
      </c>
      <c r="C32" s="111" t="s">
        <v>158</v>
      </c>
      <c r="D32" s="111"/>
      <c r="E32" s="111"/>
      <c r="F32" s="111"/>
    </row>
    <row r="33" spans="1:6" ht="141.75" customHeight="1" x14ac:dyDescent="0.35">
      <c r="A33" s="70" t="s">
        <v>159</v>
      </c>
      <c r="B33" s="71" t="str">
        <f>CONCATENATE(B27," ",C27)</f>
        <v>933,88 Litros</v>
      </c>
      <c r="C33" s="109" t="s">
        <v>175</v>
      </c>
      <c r="D33" s="109"/>
      <c r="E33" s="109"/>
      <c r="F33" s="109"/>
    </row>
  </sheetData>
  <mergeCells count="6">
    <mergeCell ref="C33:F33"/>
    <mergeCell ref="A4:D5"/>
    <mergeCell ref="A8:D8"/>
    <mergeCell ref="A9:D9"/>
    <mergeCell ref="A30:F30"/>
    <mergeCell ref="C32:F32"/>
  </mergeCells>
  <pageMargins left="1.1811023622047245" right="0.70866141732283472" top="0.74803149606299213" bottom="0.74803149606299213" header="0.31496062992125984" footer="0.31496062992125984"/>
  <pageSetup scale="80" orientation="portrait" r:id="rId1"/>
  <headerFooter>
    <oddFooter>&amp;L&amp;"Times New Roman,Normal"&amp;9Rev. 0
Vigente desde: 16.10.2015
Documento al que pertenece: &amp;"Times New Roman,Cursiva"ITM.121 Aplicación de Revestimiento para Cañerías&amp;R&amp;"Times New Roman,Normal"&amp;9Pág. &amp;[3 de &amp;[4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Drop Down 1">
              <controlPr defaultSize="0" autoLine="0" autoPict="0">
                <anchor moveWithCells="1">
                  <from>
                    <xdr:col>1</xdr:col>
                    <xdr:colOff>247650</xdr:colOff>
                    <xdr:row>18</xdr:row>
                    <xdr:rowOff>69850</xdr:rowOff>
                  </from>
                  <to>
                    <xdr:col>1</xdr:col>
                    <xdr:colOff>927100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Drop Down 2">
              <controlPr defaultSize="0" autoLine="0" autoPict="0">
                <anchor moveWithCells="1">
                  <from>
                    <xdr:col>1</xdr:col>
                    <xdr:colOff>76200</xdr:colOff>
                    <xdr:row>20</xdr:row>
                    <xdr:rowOff>57150</xdr:rowOff>
                  </from>
                  <to>
                    <xdr:col>1</xdr:col>
                    <xdr:colOff>1390650</xdr:colOff>
                    <xdr:row>20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I42"/>
  <sheetViews>
    <sheetView topLeftCell="A10" zoomScale="80" zoomScaleNormal="80" workbookViewId="0">
      <selection activeCell="K36" sqref="K36"/>
    </sheetView>
  </sheetViews>
  <sheetFormatPr baseColWidth="10" defaultRowHeight="14.5" x14ac:dyDescent="0.35"/>
  <cols>
    <col min="1" max="1" width="19.453125" customWidth="1"/>
    <col min="2" max="2" width="19.453125" hidden="1" customWidth="1"/>
    <col min="3" max="3" width="21.54296875" customWidth="1"/>
    <col min="4" max="4" width="13.81640625" customWidth="1"/>
    <col min="7" max="7" width="10" customWidth="1"/>
    <col min="8" max="8" width="11.453125" customWidth="1"/>
  </cols>
  <sheetData>
    <row r="4" spans="1:9" x14ac:dyDescent="0.35">
      <c r="A4" s="86" t="s">
        <v>171</v>
      </c>
      <c r="B4" s="86"/>
      <c r="C4" s="86"/>
      <c r="D4" s="86"/>
      <c r="E4" s="86"/>
      <c r="F4" s="86"/>
      <c r="G4" s="86"/>
    </row>
    <row r="5" spans="1:9" x14ac:dyDescent="0.35">
      <c r="A5" s="86"/>
      <c r="B5" s="86"/>
      <c r="C5" s="86"/>
      <c r="D5" s="86"/>
      <c r="E5" s="86"/>
      <c r="F5" s="86"/>
      <c r="G5" s="86"/>
    </row>
    <row r="6" spans="1:9" s="3" customFormat="1" ht="46.9" customHeight="1" x14ac:dyDescent="0.35">
      <c r="A6" s="82" t="s">
        <v>161</v>
      </c>
      <c r="B6" s="72"/>
      <c r="C6" s="73" t="s">
        <v>180</v>
      </c>
      <c r="D6" s="112" t="s">
        <v>162</v>
      </c>
      <c r="E6" s="112"/>
      <c r="F6" s="72"/>
      <c r="G6" s="82" t="s">
        <v>170</v>
      </c>
    </row>
    <row r="8" spans="1:9" ht="16" thickBot="1" x14ac:dyDescent="0.4">
      <c r="D8" s="43" t="s">
        <v>163</v>
      </c>
      <c r="E8" s="44" t="s">
        <v>164</v>
      </c>
      <c r="F8" s="45"/>
    </row>
    <row r="9" spans="1:9" ht="15.5" x14ac:dyDescent="0.35">
      <c r="B9" s="74"/>
      <c r="D9" s="46"/>
      <c r="G9" s="45"/>
      <c r="I9" s="45"/>
    </row>
    <row r="10" spans="1:9" ht="15.5" x14ac:dyDescent="0.35">
      <c r="A10" s="5">
        <v>1000</v>
      </c>
      <c r="B10" s="5">
        <f>ROUND(A10/0.3048,2)</f>
        <v>3280.84</v>
      </c>
      <c r="C10" s="47" t="s">
        <v>115</v>
      </c>
      <c r="D10" s="48">
        <f>ROUND(B10*0.24,0)</f>
        <v>787</v>
      </c>
      <c r="E10" s="47">
        <f>ROUND(B10*0.42,0)</f>
        <v>1378</v>
      </c>
      <c r="F10" t="s">
        <v>116</v>
      </c>
      <c r="G10" s="76">
        <f>B10*0.005</f>
        <v>16.404199999999999</v>
      </c>
    </row>
    <row r="11" spans="1:9" ht="15.5" x14ac:dyDescent="0.35">
      <c r="A11" s="5">
        <v>1000</v>
      </c>
      <c r="B11" s="5">
        <f t="shared" ref="B11:B13" si="0">ROUND(A11/0.3048,2)</f>
        <v>3280.84</v>
      </c>
      <c r="C11" s="47" t="s">
        <v>117</v>
      </c>
      <c r="D11" s="48">
        <f>ROUND(B11*0.52,0)</f>
        <v>1706</v>
      </c>
      <c r="E11" s="47">
        <f>ROUND(B11*0.85,0)</f>
        <v>2789</v>
      </c>
      <c r="F11" t="s">
        <v>118</v>
      </c>
      <c r="G11" s="76">
        <f>B11*0.01</f>
        <v>32.808399999999999</v>
      </c>
    </row>
    <row r="12" spans="1:9" ht="15.5" x14ac:dyDescent="0.35">
      <c r="A12" s="5">
        <v>1000</v>
      </c>
      <c r="B12" s="5">
        <f t="shared" si="0"/>
        <v>3280.84</v>
      </c>
      <c r="C12" s="47" t="s">
        <v>119</v>
      </c>
      <c r="D12" s="48">
        <f>ROUND(B12*0.79,0)</f>
        <v>2592</v>
      </c>
      <c r="E12" s="47">
        <f>B12*1.27</f>
        <v>4166.6668</v>
      </c>
      <c r="F12" t="s">
        <v>116</v>
      </c>
      <c r="G12" s="76">
        <f>B12*0.015</f>
        <v>49.212600000000002</v>
      </c>
    </row>
    <row r="13" spans="1:9" ht="15.5" x14ac:dyDescent="0.35">
      <c r="A13" s="5">
        <v>1000</v>
      </c>
      <c r="B13" s="5">
        <f t="shared" si="0"/>
        <v>3280.84</v>
      </c>
      <c r="C13" s="49" t="s">
        <v>120</v>
      </c>
      <c r="D13" s="48">
        <f>ROUND(B13*1.06,0)</f>
        <v>3478</v>
      </c>
      <c r="E13" s="49">
        <f>ROUND(B13*1.7,0)</f>
        <v>5577</v>
      </c>
      <c r="F13" s="45" t="s">
        <v>118</v>
      </c>
      <c r="G13" s="80">
        <f>B13*0.02</f>
        <v>65.616799999999998</v>
      </c>
    </row>
    <row r="14" spans="1:9" ht="15.5" x14ac:dyDescent="0.35">
      <c r="D14" s="50"/>
      <c r="F14" t="s">
        <v>121</v>
      </c>
    </row>
    <row r="15" spans="1:9" ht="30.5" x14ac:dyDescent="0.35">
      <c r="A15" s="82" t="s">
        <v>161</v>
      </c>
      <c r="B15" s="72"/>
      <c r="C15" s="73" t="s">
        <v>180</v>
      </c>
      <c r="D15" s="112" t="s">
        <v>165</v>
      </c>
      <c r="E15" s="112"/>
      <c r="F15" s="42"/>
      <c r="G15" s="82" t="s">
        <v>170</v>
      </c>
    </row>
    <row r="17" spans="1:9" ht="15" thickBot="1" x14ac:dyDescent="0.4">
      <c r="D17" s="51" t="s">
        <v>122</v>
      </c>
      <c r="E17" s="52" t="s">
        <v>114</v>
      </c>
    </row>
    <row r="18" spans="1:9" x14ac:dyDescent="0.35">
      <c r="D18" s="53"/>
    </row>
    <row r="19" spans="1:9" x14ac:dyDescent="0.35">
      <c r="A19" s="5">
        <v>1000</v>
      </c>
      <c r="B19" s="5">
        <f t="shared" ref="B19:B33" si="1">ROUND(A19/0.3048,2)</f>
        <v>3280.84</v>
      </c>
      <c r="C19" s="47" t="s">
        <v>123</v>
      </c>
      <c r="D19" s="54">
        <f>ROUND(B19*0.76,0)</f>
        <v>2493</v>
      </c>
      <c r="E19" s="77">
        <f>ROUND(B19*1.4,0)</f>
        <v>4593</v>
      </c>
      <c r="G19" s="75">
        <f>B19*0.025</f>
        <v>82.021000000000015</v>
      </c>
    </row>
    <row r="20" spans="1:9" x14ac:dyDescent="0.35">
      <c r="A20" s="5">
        <v>1000</v>
      </c>
      <c r="B20" s="5">
        <f t="shared" si="1"/>
        <v>3280.84</v>
      </c>
      <c r="C20" s="47" t="s">
        <v>124</v>
      </c>
      <c r="D20" s="54">
        <f>ROUND(0.92*B20,0)</f>
        <v>3018</v>
      </c>
      <c r="E20" s="77">
        <f>ROUND(B20*1.68,0)</f>
        <v>5512</v>
      </c>
      <c r="G20" s="75">
        <f>B20*0.0325</f>
        <v>106.62730000000001</v>
      </c>
    </row>
    <row r="21" spans="1:9" x14ac:dyDescent="0.35">
      <c r="A21" s="5">
        <v>1000</v>
      </c>
      <c r="B21" s="5">
        <f t="shared" si="1"/>
        <v>3280.84</v>
      </c>
      <c r="C21" s="47" t="s">
        <v>125</v>
      </c>
      <c r="D21" s="54">
        <f>ROUND(1.08*B21,0)</f>
        <v>3543</v>
      </c>
      <c r="E21" s="77">
        <f>ROUND(B21*1.96,0)</f>
        <v>6430</v>
      </c>
      <c r="G21" s="75">
        <f>B21*0.0375</f>
        <v>123.03149999999999</v>
      </c>
    </row>
    <row r="22" spans="1:9" x14ac:dyDescent="0.35">
      <c r="A22" s="5">
        <v>1000</v>
      </c>
      <c r="B22" s="5">
        <f t="shared" si="1"/>
        <v>3280.84</v>
      </c>
      <c r="C22" s="47" t="s">
        <v>126</v>
      </c>
      <c r="D22" s="54">
        <f>ROUND(B22*1.24,0)</f>
        <v>4068</v>
      </c>
      <c r="E22" s="77">
        <f>B22*2.24</f>
        <v>7349.0816000000013</v>
      </c>
      <c r="G22" s="75">
        <f>B22*0.0425</f>
        <v>139.43570000000003</v>
      </c>
    </row>
    <row r="23" spans="1:9" x14ac:dyDescent="0.35">
      <c r="A23" s="5">
        <v>1000</v>
      </c>
      <c r="B23" s="5">
        <f t="shared" si="1"/>
        <v>3280.84</v>
      </c>
      <c r="C23" s="47" t="s">
        <v>127</v>
      </c>
      <c r="D23" s="54">
        <f>ROUND(B23*1.38,0)</f>
        <v>4528</v>
      </c>
      <c r="E23" s="77">
        <f>B23*2.52</f>
        <v>8267.7168000000001</v>
      </c>
      <c r="G23" s="75">
        <f>B23*0.0475</f>
        <v>155.8399</v>
      </c>
    </row>
    <row r="24" spans="1:9" x14ac:dyDescent="0.35">
      <c r="A24" s="5">
        <v>1000</v>
      </c>
      <c r="B24" s="5">
        <f t="shared" si="1"/>
        <v>3280.84</v>
      </c>
      <c r="C24" s="47" t="s">
        <v>128</v>
      </c>
      <c r="D24" s="54">
        <f>ROUND(B24*1.54,0)</f>
        <v>5052</v>
      </c>
      <c r="E24" s="77">
        <f>B24*2.8</f>
        <v>9186.351999999999</v>
      </c>
      <c r="G24" s="75">
        <f>B24*0.0525</f>
        <v>172.2441</v>
      </c>
    </row>
    <row r="25" spans="1:9" x14ac:dyDescent="0.35">
      <c r="A25" s="5">
        <v>1000</v>
      </c>
      <c r="B25" s="5">
        <f t="shared" si="1"/>
        <v>3280.84</v>
      </c>
      <c r="C25" s="47" t="s">
        <v>129</v>
      </c>
      <c r="D25" s="54">
        <f>ROUND(B25*1.7,0)</f>
        <v>5577</v>
      </c>
      <c r="E25" s="77">
        <f>B25*3.08</f>
        <v>10104.987200000001</v>
      </c>
      <c r="G25" s="75">
        <f>B25*0.0575</f>
        <v>188.64830000000001</v>
      </c>
      <c r="I25" s="47"/>
    </row>
    <row r="26" spans="1:9" x14ac:dyDescent="0.35">
      <c r="A26" s="5">
        <v>1000</v>
      </c>
      <c r="B26" s="5">
        <f t="shared" si="1"/>
        <v>3280.84</v>
      </c>
      <c r="C26" s="47" t="s">
        <v>130</v>
      </c>
      <c r="D26" s="54">
        <f>ROUND(B26*1.84,0)</f>
        <v>6037</v>
      </c>
      <c r="E26" s="77">
        <f>B26*3.36</f>
        <v>11023.6224</v>
      </c>
      <c r="G26" s="75">
        <f>B26*0.0625</f>
        <v>205.05250000000001</v>
      </c>
    </row>
    <row r="27" spans="1:9" x14ac:dyDescent="0.35">
      <c r="A27" s="5">
        <v>1000</v>
      </c>
      <c r="B27" s="5">
        <f t="shared" si="1"/>
        <v>3280.84</v>
      </c>
      <c r="C27" s="47" t="s">
        <v>131</v>
      </c>
      <c r="D27" s="54">
        <f>ROUND(B27*2,0)</f>
        <v>6562</v>
      </c>
      <c r="E27" s="77">
        <f>B27*3.64</f>
        <v>11942.257600000001</v>
      </c>
      <c r="G27" s="75">
        <f>B27*0.0675</f>
        <v>221.45670000000001</v>
      </c>
    </row>
    <row r="28" spans="1:9" x14ac:dyDescent="0.35">
      <c r="A28" s="5">
        <v>1000</v>
      </c>
      <c r="B28" s="5">
        <f t="shared" si="1"/>
        <v>3280.84</v>
      </c>
      <c r="C28" s="47" t="s">
        <v>132</v>
      </c>
      <c r="D28" s="54">
        <f>ROUND(B28*2.16,0)</f>
        <v>7087</v>
      </c>
      <c r="E28" s="77"/>
      <c r="G28" s="75">
        <f>B28*0.0725</f>
        <v>237.86089999999999</v>
      </c>
    </row>
    <row r="29" spans="1:9" x14ac:dyDescent="0.35">
      <c r="A29" s="5">
        <v>1000</v>
      </c>
      <c r="B29" s="5">
        <f t="shared" si="1"/>
        <v>3280.84</v>
      </c>
      <c r="C29" s="47" t="s">
        <v>133</v>
      </c>
      <c r="D29" s="54">
        <f>ROUND(B29*2.3,0)</f>
        <v>7546</v>
      </c>
      <c r="E29" s="77">
        <f>B29*4.2</f>
        <v>13779.528000000002</v>
      </c>
      <c r="G29" s="75">
        <f>B29*0.0775</f>
        <v>254.26510000000002</v>
      </c>
    </row>
    <row r="30" spans="1:9" x14ac:dyDescent="0.35">
      <c r="A30" s="5">
        <v>1000</v>
      </c>
      <c r="B30" s="5">
        <f t="shared" si="1"/>
        <v>3280.84</v>
      </c>
      <c r="C30" s="47" t="s">
        <v>134</v>
      </c>
      <c r="D30" s="54">
        <f>ROUND(B30*2.46,0)</f>
        <v>8071</v>
      </c>
      <c r="E30" s="77">
        <f>B30*4.48</f>
        <v>14698.163200000003</v>
      </c>
      <c r="G30" s="75">
        <f>0.085*B30</f>
        <v>278.87140000000005</v>
      </c>
    </row>
    <row r="31" spans="1:9" x14ac:dyDescent="0.35">
      <c r="A31" s="5">
        <v>1000</v>
      </c>
      <c r="B31" s="5">
        <f t="shared" si="1"/>
        <v>3280.84</v>
      </c>
      <c r="C31" s="47" t="s">
        <v>135</v>
      </c>
      <c r="D31" s="54">
        <f>ROUND(B31*2.62,0)</f>
        <v>8596</v>
      </c>
      <c r="E31" s="77">
        <f>B31*4.76</f>
        <v>15616.7984</v>
      </c>
      <c r="G31" s="75">
        <f>B31*0.09</f>
        <v>295.2756</v>
      </c>
    </row>
    <row r="32" spans="1:9" x14ac:dyDescent="0.35">
      <c r="A32" s="5">
        <v>1000</v>
      </c>
      <c r="B32" s="5">
        <f t="shared" si="1"/>
        <v>3280.84</v>
      </c>
      <c r="C32" s="47" t="s">
        <v>136</v>
      </c>
      <c r="D32" s="54">
        <f>ROUND(B32*2.76,0)</f>
        <v>9055</v>
      </c>
      <c r="E32" s="77">
        <f>B32*5.04</f>
        <v>16535.4336</v>
      </c>
      <c r="G32" s="75">
        <f>B32*0.095</f>
        <v>311.6798</v>
      </c>
    </row>
    <row r="33" spans="1:8" x14ac:dyDescent="0.35">
      <c r="A33" s="5">
        <v>1000</v>
      </c>
      <c r="B33" s="5">
        <f t="shared" si="1"/>
        <v>3280.84</v>
      </c>
      <c r="C33" s="47" t="s">
        <v>137</v>
      </c>
      <c r="D33" s="47">
        <f>ROUND(B33*3.34,0)</f>
        <v>10958</v>
      </c>
      <c r="E33" s="77">
        <f>B33*6.04</f>
        <v>19816.2736</v>
      </c>
      <c r="G33" s="75">
        <f>B33*0.125</f>
        <v>410.10500000000002</v>
      </c>
    </row>
    <row r="34" spans="1:8" ht="16" thickBot="1" x14ac:dyDescent="0.4">
      <c r="D34" s="55" t="s">
        <v>168</v>
      </c>
      <c r="F34" s="55" t="s">
        <v>164</v>
      </c>
    </row>
    <row r="35" spans="1:8" x14ac:dyDescent="0.35">
      <c r="D35" s="45"/>
      <c r="E35" s="45"/>
    </row>
    <row r="36" spans="1:8" ht="15.5" x14ac:dyDescent="0.35">
      <c r="A36" s="56" t="s">
        <v>182</v>
      </c>
      <c r="B36" s="56"/>
      <c r="D36" s="78">
        <f>SUM(D10:D13)/24</f>
        <v>356.79166666666669</v>
      </c>
      <c r="E36" s="49" t="s">
        <v>166</v>
      </c>
      <c r="F36" s="79">
        <f>SUM(E10:E13)/24</f>
        <v>579.61111666666659</v>
      </c>
    </row>
    <row r="37" spans="1:8" ht="15.5" x14ac:dyDescent="0.35">
      <c r="A37" s="56" t="s">
        <v>181</v>
      </c>
      <c r="B37" s="56"/>
      <c r="D37" s="78">
        <f>SUM(D19:D33)/16</f>
        <v>5761.9375</v>
      </c>
      <c r="E37" s="49" t="s">
        <v>166</v>
      </c>
      <c r="F37" s="79">
        <f>SUM(E19:E33)/16</f>
        <v>9678.4508999999998</v>
      </c>
    </row>
    <row r="38" spans="1:8" ht="15.5" x14ac:dyDescent="0.35">
      <c r="A38" s="56" t="s">
        <v>169</v>
      </c>
      <c r="B38" s="56"/>
      <c r="D38" s="78">
        <f>SUM(G10:G35)/4</f>
        <v>836.61419999999987</v>
      </c>
    </row>
    <row r="39" spans="1:8" ht="15.5" x14ac:dyDescent="0.35">
      <c r="A39" s="56"/>
      <c r="B39" s="56"/>
      <c r="D39" s="45"/>
      <c r="E39" s="58"/>
    </row>
    <row r="40" spans="1:8" x14ac:dyDescent="0.35">
      <c r="E40" s="45"/>
    </row>
    <row r="41" spans="1:8" ht="15.5" x14ac:dyDescent="0.35">
      <c r="E41" s="45"/>
      <c r="H41" s="42" t="s">
        <v>168</v>
      </c>
    </row>
    <row r="42" spans="1:8" ht="29.5" customHeight="1" x14ac:dyDescent="0.35">
      <c r="A42" s="113" t="s">
        <v>167</v>
      </c>
      <c r="B42" s="113"/>
      <c r="C42" s="113"/>
      <c r="D42" s="113"/>
      <c r="E42" s="113"/>
      <c r="F42" s="113"/>
      <c r="G42" s="113"/>
      <c r="H42" s="57">
        <f>(D37*8)/9</f>
        <v>5121.7222222222226</v>
      </c>
    </row>
  </sheetData>
  <mergeCells count="4">
    <mergeCell ref="A4:G5"/>
    <mergeCell ref="D6:E6"/>
    <mergeCell ref="D15:E15"/>
    <mergeCell ref="A42:G42"/>
  </mergeCells>
  <pageMargins left="1.0629921259842521" right="0.78740157480314965" top="0.74803149606299213" bottom="0.74803149606299213" header="0.31496062992125984" footer="0.31496062992125984"/>
  <pageSetup scale="85" orientation="portrait" r:id="rId1"/>
  <headerFooter>
    <oddFooter>&amp;L&amp;"Times New Roman,Normal"&amp;9Rev. 0
Vigente desde: 16.10.2015
Documento al que pertenece: &amp;"Times New Roman,Cursiva"ITM.121 Aplicación de Revestimiento para Cañerías&amp;R&amp;"Times New Roman,Normal"&amp;9Pág. &amp;[4 de &amp;[4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>
  <documentManagement>
    <Fecha_x0020_de_x0020_Vigencia xmlns="dd186dba-4cc2-440e-acad-63642534838a">2015-10-16T04:00:00+00:00</Fecha_x0020_de_x0020_Vigencia>
    <Revision xmlns="dd186dba-4cc2-440e-acad-63642534838a">1</Revision>
    <_dlc_DocId xmlns="b5e3de83-21aa-4454-9d2f-c28821b96890">TPU4HQYRHZ47-1270678953-951</_dlc_DocId>
    <_dlc_DocIdUrl xmlns="b5e3de83-21aa-4454-9d2f-c28821b96890">
      <Url>http://intranetypfbtr/sgn/docVigArea/_layouts/15/DocIdRedir.aspx?ID=TPU4HQYRHZ47-1270678953-951</Url>
      <Description>TPU4HQYRHZ47-1270678953-951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9418A4F52EE44B0E34D7961D844D9" ma:contentTypeVersion="3" ma:contentTypeDescription="Crear nuevo documento." ma:contentTypeScope="" ma:versionID="9cfb20fe962967e923907a0ecd48394f">
  <xsd:schema xmlns:xsd="http://www.w3.org/2001/XMLSchema" xmlns:xs="http://www.w3.org/2001/XMLSchema" xmlns:p="http://schemas.microsoft.com/office/2006/metadata/properties" xmlns:ns2="dd186dba-4cc2-440e-acad-63642534838a" xmlns:ns3="b5e3de83-21aa-4454-9d2f-c28821b96890" targetNamespace="http://schemas.microsoft.com/office/2006/metadata/properties" ma:root="true" ma:fieldsID="670b57b05a141ecfe8c009cd920cca9f" ns2:_="" ns3:_="">
    <xsd:import namespace="dd186dba-4cc2-440e-acad-63642534838a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Revision" minOccurs="0"/>
                <xsd:element ref="ns2:Fecha_x0020_de_x0020_Vigenci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86dba-4cc2-440e-acad-63642534838a" elementFormDefault="qualified">
    <xsd:import namespace="http://schemas.microsoft.com/office/2006/documentManagement/types"/>
    <xsd:import namespace="http://schemas.microsoft.com/office/infopath/2007/PartnerControls"/>
    <xsd:element name="Revision" ma:index="8" nillable="true" ma:displayName="Revision" ma:internalName="Revision">
      <xsd:simpleType>
        <xsd:restriction base="dms:Number"/>
      </xsd:simpleType>
    </xsd:element>
    <xsd:element name="Fecha_x0020_de_x0020_Vigencia" ma:index="9" nillable="true" ma:displayName="Fecha de Vigencia" ma:format="DateOnly" ma:internalName="Fecha_x0020_de_x0020_Vigenci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l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D7D47-0609-4DE5-A2B6-6AC9EA02AF2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FCE4DF2-D758-40BB-856C-F6E73D797E42}">
  <ds:schemaRefs>
    <ds:schemaRef ds:uri="http://schemas.microsoft.com/office/infopath/2007/PartnerControls"/>
    <ds:schemaRef ds:uri="http://purl.org/dc/elements/1.1/"/>
    <ds:schemaRef ds:uri="http://www.w3.org/XML/1998/namespace"/>
    <ds:schemaRef ds:uri="b5e3de83-21aa-4454-9d2f-c28821b96890"/>
    <ds:schemaRef ds:uri="http://schemas.microsoft.com/office/2006/documentManagement/types"/>
    <ds:schemaRef ds:uri="http://purl.org/dc/dcmitype/"/>
    <ds:schemaRef ds:uri="dd186dba-4cc2-440e-acad-63642534838a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BFA8B02-9E3E-442D-9868-EC757AFCC27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627745-8881-4962-B27B-52BFA5AE89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186dba-4cc2-440e-acad-63642534838a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Hoja2</vt:lpstr>
      <vt:lpstr> Cinta de polietileno</vt:lpstr>
      <vt:lpstr>Hoja3</vt:lpstr>
      <vt:lpstr>Pintura epóxica</vt:lpstr>
      <vt:lpstr>Ceras </vt:lpstr>
      <vt:lpstr>'Ceras '!Área_de_impresión</vt:lpstr>
      <vt:lpstr>'Pintura epóxica'!Área_de_impresión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Cálculo de Cantidad de Revestimientos</dc:title>
  <dc:creator>Jose Luis Auza</dc:creator>
  <cp:lastModifiedBy>Ernesto Laime</cp:lastModifiedBy>
  <cp:lastPrinted>2015-10-19T15:53:38Z</cp:lastPrinted>
  <dcterms:created xsi:type="dcterms:W3CDTF">2012-02-13T18:03:23Z</dcterms:created>
  <dcterms:modified xsi:type="dcterms:W3CDTF">2023-09-27T18:38:34Z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-1434870363</vt:i4>
  </property>
  <property fmtid="{D5CDD505-2E9C-101B-9397-08002B2CF9AE}" pid="3" name="_NewReviewCycle">
    <vt:lpwstr/>
  </property>
  <property fmtid="{D5CDD505-2E9C-101B-9397-08002B2CF9AE}" pid="4" name="_EmailSubject">
    <vt:lpwstr>Validación del ITM.121 “Aplicación de Revestimiento para Cañerías”</vt:lpwstr>
  </property>
  <property fmtid="{D5CDD505-2E9C-101B-9397-08002B2CF9AE}" pid="5" name="_AuthorEmail">
    <vt:lpwstr>JoseLuis.Auza@ypfbtransporte.com</vt:lpwstr>
  </property>
  <property fmtid="{D5CDD505-2E9C-101B-9397-08002B2CF9AE}" pid="6" name="_AuthorEmailDisplayName">
    <vt:lpwstr>Jose Luis Auza</vt:lpwstr>
  </property>
  <property fmtid="{D5CDD505-2E9C-101B-9397-08002B2CF9AE}" pid="7" name="_PreviousAdHocReviewCycleID">
    <vt:i4>104828837</vt:i4>
  </property>
  <property fmtid="{D5CDD505-2E9C-101B-9397-08002B2CF9AE}" pid="8" name="_ReviewingToolsShownOnce">
    <vt:lpwstr/>
  </property>
  <property fmtid="{D5CDD505-2E9C-101B-9397-08002B2CF9AE}" pid="9" name="ContentTypeId">
    <vt:lpwstr>0x0101005509418A4F52EE44B0E34D7961D844D9</vt:lpwstr>
  </property>
  <property fmtid="{D5CDD505-2E9C-101B-9397-08002B2CF9AE}" pid="10" name="_dlc_DocIdItemGuid">
    <vt:lpwstr>858eb018-8bb6-410f-a73e-a347154103cf</vt:lpwstr>
  </property>
</Properties>
</file>